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640" firstSheet="4" activeTab="9"/>
  </bookViews>
  <sheets>
    <sheet name="CAPTURA DE DATOS" sheetId="1" r:id="rId1"/>
    <sheet name="CAPTURA 2" sheetId="13" r:id="rId2"/>
    <sheet name="HOJA DE REFERENCIA" sheetId="2" state="hidden" r:id="rId3"/>
    <sheet name="INFORME MENSUAL 1" sheetId="3" r:id="rId4"/>
    <sheet name="INFORME MENSUAL 2" sheetId="11" r:id="rId5"/>
    <sheet name="RESUMEN" sheetId="16" r:id="rId6"/>
    <sheet name="METAS 2012" sheetId="15" state="hidden" r:id="rId7"/>
    <sheet name="Gráfico1" sheetId="7" r:id="rId8"/>
    <sheet name="Gráfico2" sheetId="8" r:id="rId9"/>
    <sheet name="Gráfico3" sheetId="9" r:id="rId10"/>
    <sheet name="Hoja2" sheetId="17" state="hidden" r:id="rId11"/>
    <sheet name="Hoja1" sheetId="18" r:id="rId12"/>
  </sheets>
  <externalReferences>
    <externalReference r:id="rId13"/>
  </externalReferences>
  <definedNames>
    <definedName name="_xlnm._FilterDatabase" localSheetId="0" hidden="1">'CAPTURA DE DATOS'!$A$9:$A$1003</definedName>
    <definedName name="A">'[1]HOJA DE REFERENCIA'!$A$5:$A$11</definedName>
    <definedName name="_xlnm.Print_Area" localSheetId="3">'INFORME MENSUAL 1'!$A$1:$I$61</definedName>
    <definedName name="_xlnm.Print_Area" localSheetId="4">'INFORME MENSUAL 2'!$B$4:$K$104</definedName>
    <definedName name="_xlnm.Print_Area" localSheetId="5">RESUMEN!$A$4:$H$56</definedName>
    <definedName name="B">'[1]HOJA DE REFERENCIA'!$C$49:$C$61</definedName>
    <definedName name="CONTRASTADO" localSheetId="5">'HOJA DE REFERENCIA'!$A$18:$A$19</definedName>
    <definedName name="CONTRASTADO">'HOJA DE REFERENCIA'!$A$18:$A$19</definedName>
    <definedName name="ESTUDIOS" localSheetId="5">'HOJA DE REFERENCIA'!$C$2:$C$34</definedName>
    <definedName name="ESTUDIOS">'HOJA DE REFERENCIA'!$C$2:$C$34</definedName>
    <definedName name="ESTUDIOSRM">'[1]HOJA DE REFERENCIA'!$C$2:$C$46</definedName>
    <definedName name="MEDICO" localSheetId="5">'HOJA DE REFERENCIA'!$A$5:$A$11</definedName>
    <definedName name="MEDICO">'HOJA DE REFERENCIA'!$A$5:$A$11</definedName>
    <definedName name="PROCEDENCIA" localSheetId="5">'HOJA DE REFERENCIA'!$A$24:$A$26</definedName>
    <definedName name="PROCEDENCIA">'HOJA DE REFERENCIA'!$A$24:$A$26</definedName>
    <definedName name="REGION" localSheetId="5">'HOJA DE REFERENCIA'!$C$39:$C$52</definedName>
    <definedName name="REGION">'HOJA DE REFERENCIA'!$C$39:$C$52</definedName>
    <definedName name="SERVICIOS" localSheetId="5">'[1]HOJA DE REFERENCIA'!$E$2:$E$38</definedName>
    <definedName name="SERVICIOS">'HOJA DE REFERENCIA'!$E$2:$E$94</definedName>
    <definedName name="SERVICIOSISO">'HOJA DE REFERENCIA'!$F$2:$F$38</definedName>
    <definedName name="Sexo" localSheetId="5">'HOJA DE REFERENCIA'!$A$2:$A$3</definedName>
    <definedName name="Sexo">'HOJA DE REFERENCIA'!$A$2:$A$3</definedName>
    <definedName name="TECNICO" localSheetId="5">'HOJA DE REFERENCIA'!$A$13:$A$16</definedName>
    <definedName name="TECNICO">'HOJA DE REFERENCIA'!$A$13:$A$16</definedName>
    <definedName name="tomo">'HOJA DE REFERENCIA'!$C$39:$C$52</definedName>
  </definedNames>
  <calcPr calcId="191029"/>
</workbook>
</file>

<file path=xl/calcChain.xml><?xml version="1.0" encoding="utf-8"?>
<calcChain xmlns="http://schemas.openxmlformats.org/spreadsheetml/2006/main">
  <c r="C6" i="16" l="1"/>
  <c r="B7" i="11"/>
  <c r="G8" i="3"/>
  <c r="B6" i="13"/>
  <c r="D49" i="16"/>
  <c r="D48" i="16"/>
  <c r="F49" i="16"/>
  <c r="F48" i="16"/>
  <c r="C24" i="11"/>
  <c r="C19" i="11"/>
  <c r="C11" i="11"/>
  <c r="F48" i="3"/>
  <c r="G48" i="3" s="1"/>
  <c r="B45" i="3"/>
  <c r="B47" i="3"/>
  <c r="E26" i="16"/>
  <c r="C12" i="11"/>
  <c r="F54" i="16"/>
  <c r="F53" i="16"/>
  <c r="F55" i="16" s="1"/>
  <c r="F52" i="16"/>
  <c r="C54" i="16"/>
  <c r="C53" i="16"/>
  <c r="C52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5" i="16"/>
  <c r="E24" i="16"/>
  <c r="E23" i="16"/>
  <c r="E21" i="16"/>
  <c r="E20" i="16"/>
  <c r="E19" i="16"/>
  <c r="E18" i="16"/>
  <c r="E17" i="16"/>
  <c r="E16" i="16"/>
  <c r="E15" i="16"/>
  <c r="E14" i="16"/>
  <c r="E13" i="16"/>
  <c r="E12" i="16"/>
  <c r="E11" i="16"/>
  <c r="C49" i="16"/>
  <c r="E49" i="16" s="1"/>
  <c r="C48" i="16"/>
  <c r="E48" i="16" s="1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E10" i="16"/>
  <c r="E9" i="16"/>
  <c r="D9" i="16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F15" i="3"/>
  <c r="B8" i="3"/>
  <c r="C35" i="3"/>
  <c r="C34" i="3"/>
  <c r="C36" i="3" s="1"/>
  <c r="C33" i="3"/>
  <c r="B9" i="3"/>
  <c r="O14" i="15"/>
  <c r="O13" i="15"/>
  <c r="C55" i="16"/>
  <c r="C41" i="3"/>
  <c r="C40" i="3"/>
  <c r="C42" i="3" s="1"/>
  <c r="C39" i="3"/>
  <c r="D40" i="13"/>
  <c r="G40" i="13"/>
  <c r="C40" i="13"/>
  <c r="B40" i="13"/>
  <c r="J40" i="13"/>
  <c r="B58" i="3" s="1"/>
  <c r="K40" i="13"/>
  <c r="E40" i="13"/>
  <c r="E41" i="13" s="1"/>
  <c r="C47" i="3" s="1"/>
  <c r="F40" i="13"/>
  <c r="F41" i="13"/>
  <c r="I40" i="13"/>
  <c r="B56" i="3" s="1"/>
  <c r="C56" i="3" s="1"/>
  <c r="H40" i="13"/>
  <c r="C30" i="11"/>
  <c r="C58" i="3"/>
  <c r="B57" i="3"/>
  <c r="C57" i="3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29" i="11"/>
  <c r="C28" i="11"/>
  <c r="C27" i="11"/>
  <c r="C26" i="11"/>
  <c r="C25" i="11"/>
  <c r="C23" i="11"/>
  <c r="C22" i="11"/>
  <c r="C21" i="11"/>
  <c r="C20" i="11"/>
  <c r="C18" i="11"/>
  <c r="C17" i="11"/>
  <c r="C16" i="11"/>
  <c r="C15" i="11"/>
  <c r="C14" i="11"/>
  <c r="C13" i="11"/>
  <c r="C44" i="11" s="1"/>
  <c r="D25" i="3"/>
  <c r="D24" i="3"/>
  <c r="E24" i="3" s="1"/>
  <c r="D23" i="3"/>
  <c r="D22" i="3"/>
  <c r="D21" i="3"/>
  <c r="D20" i="3"/>
  <c r="D19" i="3"/>
  <c r="D18" i="3"/>
  <c r="E18" i="3" s="1"/>
  <c r="D17" i="3"/>
  <c r="D16" i="3"/>
  <c r="D15" i="3"/>
  <c r="D28" i="3"/>
  <c r="C28" i="3"/>
  <c r="B28" i="3"/>
  <c r="E28" i="3" s="1"/>
  <c r="C27" i="3"/>
  <c r="D27" i="3"/>
  <c r="E27" i="3" s="1"/>
  <c r="B27" i="3"/>
  <c r="D26" i="3"/>
  <c r="C26" i="3"/>
  <c r="B26" i="3"/>
  <c r="C25" i="3"/>
  <c r="B25" i="3"/>
  <c r="C24" i="3"/>
  <c r="C19" i="3"/>
  <c r="C20" i="3"/>
  <c r="B20" i="3"/>
  <c r="E20" i="3" s="1"/>
  <c r="B22" i="3"/>
  <c r="C22" i="3"/>
  <c r="C21" i="3"/>
  <c r="C23" i="3"/>
  <c r="C18" i="3"/>
  <c r="C17" i="3"/>
  <c r="C16" i="3"/>
  <c r="C15" i="3"/>
  <c r="C29" i="3" s="1"/>
  <c r="B24" i="3"/>
  <c r="B23" i="3"/>
  <c r="B21" i="3"/>
  <c r="B19" i="3"/>
  <c r="E19" i="3" s="1"/>
  <c r="B18" i="3"/>
  <c r="B17" i="3"/>
  <c r="B16" i="3"/>
  <c r="B15" i="3"/>
  <c r="E15" i="3" s="1"/>
  <c r="E29" i="3" s="1"/>
  <c r="G28" i="3"/>
  <c r="G27" i="3"/>
  <c r="H27" i="3" s="1"/>
  <c r="G26" i="3"/>
  <c r="G25" i="3"/>
  <c r="G24" i="3"/>
  <c r="G23" i="3"/>
  <c r="G22" i="3"/>
  <c r="G21" i="3"/>
  <c r="G20" i="3"/>
  <c r="G19" i="3"/>
  <c r="G18" i="3"/>
  <c r="G17" i="3"/>
  <c r="G15" i="3"/>
  <c r="G16" i="3"/>
  <c r="G29" i="3" s="1"/>
  <c r="F28" i="3"/>
  <c r="H28" i="3"/>
  <c r="F27" i="3"/>
  <c r="F26" i="3"/>
  <c r="H26" i="3" s="1"/>
  <c r="F25" i="3"/>
  <c r="F24" i="3"/>
  <c r="H24" i="3" s="1"/>
  <c r="F23" i="3"/>
  <c r="F22" i="3"/>
  <c r="H22" i="3" s="1"/>
  <c r="F21" i="3"/>
  <c r="H21" i="3" s="1"/>
  <c r="F20" i="3"/>
  <c r="H20" i="3"/>
  <c r="F19" i="3"/>
  <c r="H19" i="3" s="1"/>
  <c r="F18" i="3"/>
  <c r="F17" i="3"/>
  <c r="F16" i="3"/>
  <c r="F46" i="3"/>
  <c r="G46" i="3" s="1"/>
  <c r="F47" i="3"/>
  <c r="G47" i="3" s="1"/>
  <c r="F49" i="3"/>
  <c r="G49" i="3" s="1"/>
  <c r="B48" i="3"/>
  <c r="C48" i="3" s="1"/>
  <c r="B49" i="3"/>
  <c r="C49" i="3" s="1"/>
  <c r="B50" i="3"/>
  <c r="C50" i="3" s="1"/>
  <c r="B46" i="3"/>
  <c r="C46" i="3" s="1"/>
  <c r="F33" i="3"/>
  <c r="F34" i="3"/>
  <c r="C1005" i="1"/>
  <c r="H23" i="3"/>
  <c r="H17" i="3"/>
  <c r="H25" i="3"/>
  <c r="H18" i="3"/>
  <c r="B55" i="3"/>
  <c r="C55" i="3" s="1"/>
  <c r="C45" i="3"/>
  <c r="G47" i="11"/>
  <c r="E16" i="3"/>
  <c r="E17" i="3"/>
  <c r="E23" i="3"/>
  <c r="H15" i="3"/>
  <c r="H29" i="3" s="1"/>
  <c r="E26" i="3"/>
  <c r="H16" i="3"/>
  <c r="E21" i="3"/>
  <c r="E22" i="3"/>
  <c r="E25" i="3"/>
  <c r="D29" i="3"/>
  <c r="B29" i="3"/>
  <c r="F29" i="3"/>
  <c r="F35" i="3"/>
  <c r="B51" i="3"/>
  <c r="F50" i="3" l="1"/>
</calcChain>
</file>

<file path=xl/sharedStrings.xml><?xml version="1.0" encoding="utf-8"?>
<sst xmlns="http://schemas.openxmlformats.org/spreadsheetml/2006/main" count="507" uniqueCount="293">
  <si>
    <t>EDAD</t>
  </si>
  <si>
    <t>SEXO</t>
  </si>
  <si>
    <t>ESTUDIO</t>
  </si>
  <si>
    <t>MEDICO</t>
  </si>
  <si>
    <t>TECNICO</t>
  </si>
  <si>
    <t>FECHA</t>
  </si>
  <si>
    <t>No. DE EXPEDEINTE</t>
  </si>
  <si>
    <t>HOJA DE CAPTURA DE DATOS MENSUALES DE TAC</t>
  </si>
  <si>
    <t>Masculino</t>
  </si>
  <si>
    <t>Femenino</t>
  </si>
  <si>
    <t>Elisa</t>
  </si>
  <si>
    <t>Garly</t>
  </si>
  <si>
    <t>Roberto</t>
  </si>
  <si>
    <t>Agustin</t>
  </si>
  <si>
    <t>Residente</t>
  </si>
  <si>
    <t>S/I</t>
  </si>
  <si>
    <t>Martin</t>
  </si>
  <si>
    <t>Hilda</t>
  </si>
  <si>
    <t>Miguel</t>
  </si>
  <si>
    <t>ABDOMEN</t>
  </si>
  <si>
    <t>MEDICIONES ORTOPEDICAS</t>
  </si>
  <si>
    <t>COLUMNA CERVICAL</t>
  </si>
  <si>
    <t>CRANEO</t>
  </si>
  <si>
    <t>ANGIOTAC</t>
  </si>
  <si>
    <t>CODO</t>
  </si>
  <si>
    <t>COLUMNA DORSAL</t>
  </si>
  <si>
    <t>COLUMNA LUMBAR</t>
  </si>
  <si>
    <t>CUELLO/LARINGE</t>
  </si>
  <si>
    <t>DENTAL SCAN</t>
  </si>
  <si>
    <t>FEMUR</t>
  </si>
  <si>
    <t>HIPOFISIS</t>
  </si>
  <si>
    <t>HOMBRO</t>
  </si>
  <si>
    <t>HUMERO</t>
  </si>
  <si>
    <t>MACIZO FACIAL</t>
  </si>
  <si>
    <t>MANO</t>
  </si>
  <si>
    <t>MASTOIDES Y OIDOS</t>
  </si>
  <si>
    <t>MUÑECA</t>
  </si>
  <si>
    <t>ORBITAS</t>
  </si>
  <si>
    <t>PELVIS/CADERA</t>
  </si>
  <si>
    <t>PERFUSION</t>
  </si>
  <si>
    <t>PIE</t>
  </si>
  <si>
    <t>RADIO Y CUBITO</t>
  </si>
  <si>
    <t>RODILLA</t>
  </si>
  <si>
    <t>TIBIA Y PERONE</t>
  </si>
  <si>
    <t>TOBILLO</t>
  </si>
  <si>
    <t>TORAX</t>
  </si>
  <si>
    <t>UROTAC</t>
  </si>
  <si>
    <t xml:space="preserve">ANGIOTAC </t>
  </si>
  <si>
    <t>BIOPSIA</t>
  </si>
  <si>
    <t>DENSITOMETRIA</t>
  </si>
  <si>
    <t xml:space="preserve">MIELOTAC </t>
  </si>
  <si>
    <t>SENOS PARANASALES</t>
  </si>
  <si>
    <t>ARTROTAC</t>
  </si>
  <si>
    <t>Si</t>
  </si>
  <si>
    <t>No</t>
  </si>
  <si>
    <t>ADMISION-CHOQUE</t>
  </si>
  <si>
    <t>AGUDOS</t>
  </si>
  <si>
    <t>ANATOMIA PATOLOGICA</t>
  </si>
  <si>
    <t>ANESTESIOLOGIA</t>
  </si>
  <si>
    <t>ANTROPOMETRIAS</t>
  </si>
  <si>
    <t>APARATO FONOARTICULADOR Y DEGLUCION</t>
  </si>
  <si>
    <t>APRENDIZAJE</t>
  </si>
  <si>
    <t>ARCHIVO CLINICO</t>
  </si>
  <si>
    <t>ARCHIVO RADIOLOGICO</t>
  </si>
  <si>
    <t>AUDICION Y EQUILIBRIO</t>
  </si>
  <si>
    <t>AUDIOLOGIA</t>
  </si>
  <si>
    <t>BANCO DE SANGRE</t>
  </si>
  <si>
    <t>BUCODENTOMAXILAR</t>
  </si>
  <si>
    <t>CARDIOLOGIA</t>
  </si>
  <si>
    <t>CIRUGIA DE COLUMNA</t>
  </si>
  <si>
    <t>CIRUGIA PLASTICA CENIAQ</t>
  </si>
  <si>
    <t>CIRUGIA PLASTICA OTORRINO</t>
  </si>
  <si>
    <t>CLINCA DE DISTROFIAS</t>
  </si>
  <si>
    <t>CLINICA DE INFECCIONES OSEAS</t>
  </si>
  <si>
    <t>CLINICA DE LIGAMENTO CRUZADO ANTERIOR</t>
  </si>
  <si>
    <t>CLINICA DE MENOPAUSIA</t>
  </si>
  <si>
    <t>CLINICA DE OSTEOPOROSIS</t>
  </si>
  <si>
    <t>CLINCA DE PCI</t>
  </si>
  <si>
    <t>CLINICA DE PROTESIS TOT DE CADERA</t>
  </si>
  <si>
    <t>CLINICA DEL DOLOR</t>
  </si>
  <si>
    <t>CLINICA FRACTURA DE RADIO DISTAL</t>
  </si>
  <si>
    <t>DEFORMIDADES NEUROMUSCULARES</t>
  </si>
  <si>
    <t>DENSITOMETRIA OSEA</t>
  </si>
  <si>
    <t>DESCONOCIDO</t>
  </si>
  <si>
    <t>DIETOLOGIA ORTOPEDICA</t>
  </si>
  <si>
    <t>DISTROFIAS MUSCULARES</t>
  </si>
  <si>
    <t>ELECTROFISIOLOGIA</t>
  </si>
  <si>
    <t>FONIATRIA</t>
  </si>
  <si>
    <t>GENETICA MEDICA</t>
  </si>
  <si>
    <t>INFECCIONES OSEAS</t>
  </si>
  <si>
    <t>INFECTOLOGIA</t>
  </si>
  <si>
    <t>LENGUAJE</t>
  </si>
  <si>
    <t>LESIONADOS MEDULARES</t>
  </si>
  <si>
    <t>MALFORMACIONES CONGENITAS</t>
  </si>
  <si>
    <t>MANO Y MICROCIRUGIA</t>
  </si>
  <si>
    <t>MEDICINA DEL DEPORTE</t>
  </si>
  <si>
    <t>MEDICINA INTERNA</t>
  </si>
  <si>
    <t>NEUROFISIOLOGIA</t>
  </si>
  <si>
    <t>NEUROMUSCULARES</t>
  </si>
  <si>
    <t>NEUROPSICOLOGIA</t>
  </si>
  <si>
    <t>NEUROPSICOLOGIA ADULTOS</t>
  </si>
  <si>
    <t>NEUROPSIQUIATRIA</t>
  </si>
  <si>
    <t>NEUROUROLOGIA</t>
  </si>
  <si>
    <t>NO CLASIFICADO</t>
  </si>
  <si>
    <t>OFTALMOLOGIA</t>
  </si>
  <si>
    <t>ORTODONCIA</t>
  </si>
  <si>
    <t>ORTOPEDIA DEL DEP Y ARTR</t>
  </si>
  <si>
    <t>ORTOPEDIA PEDIATRICA</t>
  </si>
  <si>
    <t>OTOLOGIA</t>
  </si>
  <si>
    <t>OTONEUROLOGIA</t>
  </si>
  <si>
    <t>PAIDOPSIQUIATRIA</t>
  </si>
  <si>
    <t>PARALISIS CEREBRAL INF ESTIM TEMP</t>
  </si>
  <si>
    <t>PEDIATRIA</t>
  </si>
  <si>
    <t>PRECONSULTA</t>
  </si>
  <si>
    <t>PRUEBAS ERGOMETRICAS</t>
  </si>
  <si>
    <t>PSICOLOGIA DE AUDIO Y LENGUAJE</t>
  </si>
  <si>
    <t>PSICOLOGIA DE REHABILITACION</t>
  </si>
  <si>
    <t>PSICOLOGIA QUEMADOS</t>
  </si>
  <si>
    <t>PSICOLOGIA DEL DEPORTE</t>
  </si>
  <si>
    <t>PSIQUIATRIA</t>
  </si>
  <si>
    <t>R ART DE HOMBRO Y CODO</t>
  </si>
  <si>
    <t>R ARTICULAR DE CADERA Y RODILLA</t>
  </si>
  <si>
    <t>REACONDICIONAMIENTO FISICO</t>
  </si>
  <si>
    <t>REH DE EVC Y TCE</t>
  </si>
  <si>
    <t>REHAB ARTIC Y MED DEPORTE</t>
  </si>
  <si>
    <t>REHABILITACION (VAL INICIAL)</t>
  </si>
  <si>
    <t>REHABILITACION CARIDIOPULMONAR</t>
  </si>
  <si>
    <t>REHABILITACION DE AMPUTADOS</t>
  </si>
  <si>
    <t>REHABILITACION DE COLUMNA</t>
  </si>
  <si>
    <t>REHABILITACION DE MANO</t>
  </si>
  <si>
    <t>REHABILITACION GERIATRICA</t>
  </si>
  <si>
    <t>REHABILITACION NEUROLOGICA</t>
  </si>
  <si>
    <t>REHABILITACION OSTEOARTICULAR</t>
  </si>
  <si>
    <t>REHABILITACION PEDIATRICA</t>
  </si>
  <si>
    <t>REHABILITACION PULMONAR</t>
  </si>
  <si>
    <t>REHABILITACION QUEMADOS</t>
  </si>
  <si>
    <t>REHABILITACION TRAUMA</t>
  </si>
  <si>
    <t>REUMATOLOGIA</t>
  </si>
  <si>
    <t>SUBAGUDOS</t>
  </si>
  <si>
    <t>TANATOLOGIA</t>
  </si>
  <si>
    <t>TRAUMATOLOGIA</t>
  </si>
  <si>
    <t>TUMORES</t>
  </si>
  <si>
    <t>URGENCIAS</t>
  </si>
  <si>
    <t>UROLOGIA</t>
  </si>
  <si>
    <t>VOZ</t>
  </si>
  <si>
    <t>Total de pacientes</t>
  </si>
  <si>
    <t>Total de estudios</t>
  </si>
  <si>
    <t>CABEZA/CUELLO</t>
  </si>
  <si>
    <t>EXTREMIDADES/ARTICULACIONES</t>
  </si>
  <si>
    <t>MIELOTAC</t>
  </si>
  <si>
    <t>DENSITOMETRIA POR TC</t>
  </si>
  <si>
    <t>PROTOCOLO</t>
  </si>
  <si>
    <t>REGION</t>
  </si>
  <si>
    <t>0-15</t>
  </si>
  <si>
    <t>16-40</t>
  </si>
  <si>
    <t>&gt; 40</t>
  </si>
  <si>
    <t>TOTAL</t>
  </si>
  <si>
    <t>MASCULINO</t>
  </si>
  <si>
    <t>FEMENINO</t>
  </si>
  <si>
    <t>Total</t>
  </si>
  <si>
    <t>DISTRIBUCION POR EDAD</t>
  </si>
  <si>
    <t>DISTRIBUCION POR SEXO</t>
  </si>
  <si>
    <t>CTE</t>
  </si>
  <si>
    <t>EXTERNO</t>
  </si>
  <si>
    <t>HOSPITALIZACION</t>
  </si>
  <si>
    <t>OTORRINOLARINGOLOGIA</t>
  </si>
  <si>
    <t>ESTUDIOS</t>
  </si>
  <si>
    <t>CONTRASTADOS</t>
  </si>
  <si>
    <t>SI</t>
  </si>
  <si>
    <t>NO</t>
  </si>
  <si>
    <t>Dra. Elisa Martinez</t>
  </si>
  <si>
    <t>Dr. Garly González</t>
  </si>
  <si>
    <t>Dr. Roberto Sotelo</t>
  </si>
  <si>
    <t>Dr. Agustin Rmz</t>
  </si>
  <si>
    <t>Sin Interpretacion</t>
  </si>
  <si>
    <t>TR Martin Luna</t>
  </si>
  <si>
    <t>TR Hilda Thirion</t>
  </si>
  <si>
    <t>TR Miguel Vidargas</t>
  </si>
  <si>
    <t>TOTAL 1</t>
  </si>
  <si>
    <t>TOTAL 2</t>
  </si>
  <si>
    <t>CIRUGIA MAXILOFACIAL</t>
  </si>
  <si>
    <t>INFORME MENSUAL TOMOGRAFIA COMPUTADA</t>
  </si>
  <si>
    <t>PROCEDENCIA PACIENTE</t>
  </si>
  <si>
    <t>PROCEDENCIA PACIENTES</t>
  </si>
  <si>
    <t>PROCEDENCIA ESTUDIOS</t>
  </si>
  <si>
    <t>ESTUDIOS COMPLICADOS</t>
  </si>
  <si>
    <t>INDICADOR</t>
  </si>
  <si>
    <t>EST AGENDADOS/REALIZADOS</t>
  </si>
  <si>
    <t>AGENDADOS AM</t>
  </si>
  <si>
    <t>REALIZADOS AM</t>
  </si>
  <si>
    <t>AGENDADOS PM</t>
  </si>
  <si>
    <t>REALIZADOS PM</t>
  </si>
  <si>
    <t>COMPLICACIONES</t>
  </si>
  <si>
    <t>TOTAL AGENDADOS</t>
  </si>
  <si>
    <t>TOTAL REALIZADOS</t>
  </si>
  <si>
    <t>INDICADORES</t>
  </si>
  <si>
    <t>PORCENTAJE</t>
  </si>
  <si>
    <t>REPETICIONES</t>
  </si>
  <si>
    <t>MIELOTC</t>
  </si>
  <si>
    <t>ENC DE SATISFACCION</t>
  </si>
  <si>
    <t>ENC DE NO SATISFACCION</t>
  </si>
  <si>
    <t>ENCUESTAS DE SATISFACCIÓN</t>
  </si>
  <si>
    <t>AUDIOLOGIA/OTONEUROLOGIA</t>
  </si>
  <si>
    <t>PATOLOGIA DEL LENGUAJE</t>
  </si>
  <si>
    <t>REHAB AMPUTADOS</t>
  </si>
  <si>
    <t>REHAB DEL DEPORTE</t>
  </si>
  <si>
    <t>REHAB DE COLUMNA</t>
  </si>
  <si>
    <t>REHAB OSTEOARTICULAR</t>
  </si>
  <si>
    <t>NEUROLOGIA</t>
  </si>
  <si>
    <t>REHAB LESIONADOS MEDULARES</t>
  </si>
  <si>
    <t>REHAB ENFERMEDAD VASCULAR CEREBRAL</t>
  </si>
  <si>
    <t>REHAB EN TRAUMA CRANEO ENCEFALICO</t>
  </si>
  <si>
    <t>ELECTROMIOGRAFIA Y DISTROFIA MUSCULAR</t>
  </si>
  <si>
    <t>CLINICA DE MEDICINA DEL DEPORTE</t>
  </si>
  <si>
    <t>MALFORMACIONES CONGENITAS Y DEFECTOS DEL TUBO NEURAL</t>
  </si>
  <si>
    <t>PARALISIS CEREBRAL Y ESTIMULACION TEMPRANA</t>
  </si>
  <si>
    <t>REHAB GERIATRICA</t>
  </si>
  <si>
    <t>REHAB PULMONAR</t>
  </si>
  <si>
    <t>REHAB CARDIACA</t>
  </si>
  <si>
    <t>REC ARTICULAR DE CADERA Y RODILLA</t>
  </si>
  <si>
    <t>REC ARTICULAR DE HOMBRO Y CODO</t>
  </si>
  <si>
    <t>ORTOPEDIA DEL DEPORTE Y ARTROSCOPIA</t>
  </si>
  <si>
    <t>CIRUGIA DE MANO</t>
  </si>
  <si>
    <t>CIRUGIA DE TUMORES OSEOS</t>
  </si>
  <si>
    <t>INFECCIONES OSEAS Y PSEUDOARTROSIS</t>
  </si>
  <si>
    <t>TERAPIA INTENSIVA Y MEDICINA INTERNA</t>
  </si>
  <si>
    <t>TRASTORNOS DE AUDICION Y EQUILIBRIO</t>
  </si>
  <si>
    <t>APARATO FONOARTICULADOR Y DE LA DEGLUCION</t>
  </si>
  <si>
    <t>CENIAQ</t>
  </si>
  <si>
    <t>SERVICIO QUE ENVIA EST</t>
  </si>
  <si>
    <t>SERVICIO QUE ENVIA PX</t>
  </si>
  <si>
    <t xml:space="preserve">INSTITUTO NACIONAL DE REHABILITACION </t>
  </si>
  <si>
    <t xml:space="preserve">TOMOGRAFIA COMPUTADA </t>
  </si>
  <si>
    <t xml:space="preserve">               METAS 2012 </t>
  </si>
  <si>
    <t>PROYECTADO 2012</t>
  </si>
  <si>
    <t>DIC-ENE</t>
  </si>
  <si>
    <t>ENE-FEB</t>
  </si>
  <si>
    <t>FEB -MAR</t>
  </si>
  <si>
    <t>MZO -ABR</t>
  </si>
  <si>
    <t>ABR-MAY</t>
  </si>
  <si>
    <t>MAY-JUN</t>
  </si>
  <si>
    <t>JUN-JUL</t>
  </si>
  <si>
    <t>JUL-AGO</t>
  </si>
  <si>
    <t>AGO-SEP</t>
  </si>
  <si>
    <t>SEP-OCT</t>
  </si>
  <si>
    <t>OCT-NOV</t>
  </si>
  <si>
    <t>NOV-DIC</t>
  </si>
  <si>
    <t xml:space="preserve">TOTAL </t>
  </si>
  <si>
    <t>ESTUDIOS DE TOMOGRAFIA COMPUTADA</t>
  </si>
  <si>
    <t>P</t>
  </si>
  <si>
    <t>E</t>
  </si>
  <si>
    <t>PROCEDENCIA ESTUDIO</t>
  </si>
  <si>
    <t>ESTUDIOS POR SERVICIO</t>
  </si>
  <si>
    <t>SUBDIRECCION</t>
  </si>
  <si>
    <t>SERVICIO</t>
  </si>
  <si>
    <t>TOTAL DE PACIENTES</t>
  </si>
  <si>
    <t>TOTAL DE ESTUDIOS</t>
  </si>
  <si>
    <t>ORTOPEDIA</t>
  </si>
  <si>
    <t>ENFERMEDADES ARTICULARES</t>
  </si>
  <si>
    <t>CIRUGIA ESPECIAL</t>
  </si>
  <si>
    <t>TRAUMATOLOGIA  Y URGENCIAS</t>
  </si>
  <si>
    <t>ORT PEDIATRICA Y DEFORMIDADES NEUROMUSCULARES</t>
  </si>
  <si>
    <t>SERVICIOS QUIRURGICOS DE APOYO</t>
  </si>
  <si>
    <t>MEDICINA DE REHABILITACION</t>
  </si>
  <si>
    <t>REHABILITACION ORTOPEDICA</t>
  </si>
  <si>
    <t>REHABILITACCION NEUROLOGICA</t>
  </si>
  <si>
    <t>REHABILITACION GERIATRICA Y CARDIORESPIRATORIA</t>
  </si>
  <si>
    <t>CENTRO NACIONAL DE INVESTIGACION Y ATENCION A QUEMADOS</t>
  </si>
  <si>
    <t>AUDIOLOGIA, FONIATRIA Y PATOLIGIA DEL LENGUAJE</t>
  </si>
  <si>
    <t>AUXILIARES DE DIAGNOSTICO</t>
  </si>
  <si>
    <t>META MENSUAL</t>
  </si>
  <si>
    <t>% CUMPLIDO MENSUAL</t>
  </si>
  <si>
    <t>META ANUAL</t>
  </si>
  <si>
    <t>PACIENTES</t>
  </si>
  <si>
    <t>Ricardo</t>
  </si>
  <si>
    <t>Dr. Ricardo Salazar</t>
  </si>
  <si>
    <t>Joel</t>
  </si>
  <si>
    <t>TR Joel Baltazar</t>
  </si>
  <si>
    <t>Columna1</t>
  </si>
  <si>
    <t xml:space="preserve">      </t>
  </si>
  <si>
    <t>ESTUDIOS REPETIDOS</t>
  </si>
  <si>
    <t>Total para metas</t>
  </si>
  <si>
    <t>PROYECTADO  2015</t>
  </si>
  <si>
    <t xml:space="preserve">CONTRASTADOS </t>
  </si>
  <si>
    <t>METAS 2015</t>
  </si>
  <si>
    <t>Dirección Médica</t>
  </si>
  <si>
    <t>Subdirección de Auxiliares de Diagnóstico</t>
  </si>
  <si>
    <t>Informe mensual</t>
  </si>
  <si>
    <t>Subdirección de Auxiliares de diagnóstico</t>
  </si>
  <si>
    <t>HOJA DE CAPTURA DE DATOS MENSUALES TC</t>
  </si>
  <si>
    <t>Informe Mensual</t>
  </si>
  <si>
    <t>Fecha de mes a reportar</t>
  </si>
  <si>
    <t>F02-MOP-SDP-02 Rev. 03 DIC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</si>
</sst>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%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24" applyNumberFormat="0" applyFill="0" applyAlignment="0" applyProtection="0"/>
  </cellStyleXfs>
  <cellXfs count="162">
    <xf numFmtId="0" fontId="0" fillId="0" borderId="0" xfId="0"/>
    <xf numFmtId="0" fontId="0" fillId="0" borderId="0" xfId="0" applyAlignment="1">
      <alignment horizontal="center"/>
    </xf>
    <xf numFmtId="0" fontId="5" fillId="4" borderId="0" xfId="3"/>
    <xf numFmtId="0" fontId="6" fillId="0" borderId="24" xfId="5" applyBorder="1"/>
    <xf numFmtId="0" fontId="4" fillId="2" borderId="0" xfId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NumberFormat="1"/>
    <xf numFmtId="0" fontId="5" fillId="5" borderId="0" xfId="0" applyFont="1" applyFill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5" fillId="3" borderId="0" xfId="2" applyNumberFormat="1" applyAlignment="1">
      <alignment horizontal="center"/>
    </xf>
    <xf numFmtId="0" fontId="5" fillId="5" borderId="0" xfId="0" applyFont="1" applyFill="1" applyAlignment="1">
      <alignment horizontal="center"/>
    </xf>
    <xf numFmtId="0" fontId="5" fillId="3" borderId="0" xfId="2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9" fontId="4" fillId="0" borderId="0" xfId="4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quotePrefix="1" applyProtection="1">
      <protection locked="0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wrapText="1"/>
    </xf>
    <xf numFmtId="0" fontId="0" fillId="0" borderId="27" xfId="0" applyBorder="1"/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2" fillId="0" borderId="0" xfId="0" applyFont="1"/>
    <xf numFmtId="0" fontId="13" fillId="0" borderId="1" xfId="0" applyFont="1" applyBorder="1" applyAlignment="1">
      <alignment horizontal="center"/>
    </xf>
    <xf numFmtId="0" fontId="2" fillId="0" borderId="6" xfId="0" applyFont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13" fillId="6" borderId="1" xfId="0" applyFont="1" applyFill="1" applyBorder="1" applyAlignment="1" applyProtection="1">
      <alignment horizontal="left" indent="1"/>
      <protection locked="0"/>
    </xf>
    <xf numFmtId="0" fontId="2" fillId="0" borderId="1" xfId="0" applyFont="1" applyBorder="1" applyProtection="1">
      <protection locked="0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4" fillId="0" borderId="0" xfId="0" applyFont="1" applyAlignment="1"/>
    <xf numFmtId="0" fontId="15" fillId="0" borderId="0" xfId="0" applyFont="1" applyAlignment="1"/>
    <xf numFmtId="0" fontId="16" fillId="0" borderId="5" xfId="0" applyFont="1" applyBorder="1" applyAlignment="1">
      <alignment horizontal="center" vertical="center" wrapText="1"/>
    </xf>
    <xf numFmtId="0" fontId="0" fillId="8" borderId="7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9" borderId="8" xfId="0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10" borderId="7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11" borderId="13" xfId="0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12" borderId="13" xfId="0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13" borderId="7" xfId="0" applyFill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14" borderId="7" xfId="0" applyFill="1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15" borderId="13" xfId="0" applyFill="1" applyBorder="1" applyAlignment="1">
      <alignment wrapText="1"/>
    </xf>
    <xf numFmtId="0" fontId="0" fillId="0" borderId="0" xfId="0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16" borderId="9" xfId="1" applyFont="1" applyFill="1" applyBorder="1" applyAlignment="1">
      <alignment horizontal="center" wrapText="1"/>
    </xf>
    <xf numFmtId="0" fontId="17" fillId="16" borderId="1" xfId="3" applyFon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7" fillId="16" borderId="11" xfId="1" applyFont="1" applyFill="1" applyBorder="1" applyAlignment="1">
      <alignment horizontal="center" wrapText="1"/>
    </xf>
    <xf numFmtId="0" fontId="17" fillId="16" borderId="3" xfId="3" applyFont="1" applyFill="1" applyBorder="1" applyAlignment="1">
      <alignment horizontal="center" wrapText="1"/>
    </xf>
    <xf numFmtId="0" fontId="4" fillId="16" borderId="0" xfId="1" applyFont="1" applyFill="1" applyBorder="1" applyAlignment="1">
      <alignment wrapText="1"/>
    </xf>
    <xf numFmtId="0" fontId="17" fillId="16" borderId="17" xfId="3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16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quotePrefix="1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9" fontId="4" fillId="0" borderId="0" xfId="4" applyFont="1"/>
    <xf numFmtId="9" fontId="4" fillId="0" borderId="0" xfId="4" applyNumberFormat="1" applyFont="1"/>
    <xf numFmtId="0" fontId="4" fillId="0" borderId="0" xfId="4" applyNumberFormat="1" applyFont="1"/>
    <xf numFmtId="165" fontId="0" fillId="0" borderId="0" xfId="0" applyNumberFormat="1" applyAlignment="1">
      <alignment horizontal="center"/>
    </xf>
    <xf numFmtId="165" fontId="4" fillId="0" borderId="0" xfId="4" applyNumberFormat="1" applyFont="1" applyAlignment="1">
      <alignment horizontal="center"/>
    </xf>
    <xf numFmtId="0" fontId="0" fillId="0" borderId="0" xfId="0"/>
    <xf numFmtId="0" fontId="2" fillId="17" borderId="1" xfId="0" applyFont="1" applyFill="1" applyBorder="1" applyProtection="1">
      <protection locked="0"/>
    </xf>
    <xf numFmtId="0" fontId="13" fillId="17" borderId="1" xfId="0" applyFont="1" applyFill="1" applyBorder="1" applyAlignment="1" applyProtection="1">
      <alignment horizontal="center" vertical="center" wrapText="1"/>
      <protection locked="0"/>
    </xf>
    <xf numFmtId="0" fontId="2" fillId="17" borderId="1" xfId="0" applyFont="1" applyFill="1" applyBorder="1" applyAlignment="1" applyProtection="1">
      <alignment horizontal="center" vertical="center"/>
      <protection locked="0"/>
    </xf>
    <xf numFmtId="0" fontId="13" fillId="17" borderId="1" xfId="0" applyFont="1" applyFill="1" applyBorder="1" applyAlignment="1" applyProtection="1">
      <alignment horizontal="center"/>
      <protection locked="0"/>
    </xf>
    <xf numFmtId="0" fontId="3" fillId="17" borderId="1" xfId="0" applyFont="1" applyFill="1" applyBorder="1" applyAlignment="1" applyProtection="1">
      <alignment horizontal="center"/>
      <protection locked="0"/>
    </xf>
    <xf numFmtId="0" fontId="0" fillId="17" borderId="1" xfId="0" applyFont="1" applyFill="1" applyBorder="1" applyAlignment="1">
      <alignment horizontal="center"/>
    </xf>
    <xf numFmtId="0" fontId="3" fillId="17" borderId="1" xfId="0" applyFont="1" applyFill="1" applyBorder="1" applyAlignment="1" applyProtection="1">
      <alignment horizontal="center" vertical="center"/>
      <protection locked="0"/>
    </xf>
    <xf numFmtId="0" fontId="0" fillId="17" borderId="1" xfId="0" applyFill="1" applyBorder="1"/>
    <xf numFmtId="0" fontId="0" fillId="17" borderId="1" xfId="0" applyFill="1" applyBorder="1" applyAlignment="1">
      <alignment horizontal="center"/>
    </xf>
    <xf numFmtId="0" fontId="12" fillId="17" borderId="1" xfId="0" applyFont="1" applyFill="1" applyBorder="1"/>
    <xf numFmtId="0" fontId="13" fillId="17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16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9" fontId="4" fillId="0" borderId="21" xfId="4" applyFont="1" applyBorder="1" applyAlignment="1">
      <alignment horizontal="center" wrapText="1"/>
    </xf>
    <xf numFmtId="0" fontId="15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7" fillId="0" borderId="0" xfId="0" applyFont="1" applyAlignment="1"/>
    <xf numFmtId="0" fontId="0" fillId="0" borderId="0" xfId="0" applyAlignment="1"/>
    <xf numFmtId="0" fontId="14" fillId="0" borderId="0" xfId="0" applyFont="1" applyAlignment="1" applyProtection="1">
      <protection locked="0"/>
    </xf>
    <xf numFmtId="22" fontId="0" fillId="0" borderId="0" xfId="0" applyNumberFormat="1" applyAlignment="1"/>
    <xf numFmtId="0" fontId="18" fillId="0" borderId="0" xfId="0" applyFont="1" applyAlignment="1"/>
    <xf numFmtId="0" fontId="0" fillId="0" borderId="0" xfId="0" applyAlignme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/>
    <xf numFmtId="0" fontId="19" fillId="0" borderId="0" xfId="0" applyFont="1" applyAlignment="1"/>
    <xf numFmtId="0" fontId="14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13" xfId="5" applyBorder="1" applyAlignment="1">
      <alignment horizontal="center"/>
    </xf>
    <xf numFmtId="0" fontId="6" fillId="0" borderId="4" xfId="5" applyBorder="1" applyAlignment="1">
      <alignment horizontal="center"/>
    </xf>
    <xf numFmtId="0" fontId="6" fillId="0" borderId="14" xfId="5" applyBorder="1" applyAlignment="1">
      <alignment horizontal="center"/>
    </xf>
    <xf numFmtId="0" fontId="6" fillId="0" borderId="7" xfId="5" applyBorder="1" applyAlignment="1">
      <alignment horizontal="center"/>
    </xf>
    <xf numFmtId="0" fontId="6" fillId="0" borderId="2" xfId="5" applyBorder="1" applyAlignment="1">
      <alignment horizontal="center"/>
    </xf>
    <xf numFmtId="0" fontId="6" fillId="0" borderId="18" xfId="5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17" borderId="1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</cellXfs>
  <cellStyles count="6">
    <cellStyle name="60% - Énfasis2" xfId="1" builtinId="36"/>
    <cellStyle name="Énfasis1" xfId="2" builtinId="29"/>
    <cellStyle name="Énfasis2" xfId="3" builtinId="33"/>
    <cellStyle name="Normal" xfId="0" builtinId="0"/>
    <cellStyle name="Porcentaje" xfId="4" builtinId="5"/>
    <cellStyle name="Título 1" xfId="5" builtinId="16"/>
  </cellStyles>
  <dxfs count="87">
    <dxf>
      <border diagonalUp="0" diagonalDown="0" outline="0">
        <left/>
        <right style="thin">
          <color theme="4"/>
        </right>
        <top/>
        <bottom style="thin">
          <color theme="4"/>
        </bottom>
      </border>
    </dxf>
    <dxf>
      <numFmt numFmtId="0" formatCode="General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diagonalUp="0" diagonalDown="0" outline="0">
        <left style="thin">
          <color theme="4"/>
        </left>
        <right/>
        <top/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0" formatCode="General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relativeIndent="0" justifyLastLine="0" shrinkToFit="0" readingOrder="0"/>
    </dxf>
    <dxf>
      <numFmt numFmtId="165" formatCode="0.0%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relativeIndent="0" justifyLastLine="0" shrinkToFit="0" readingOrder="0"/>
    </dxf>
    <dxf>
      <numFmt numFmtId="165" formatCode="0.0%"/>
      <alignment horizontal="center" vertical="bottom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164" formatCode="dd/mm/yy;@"/>
      <alignment horizontal="right" vertical="bottom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6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6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image" Target="../media/image6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lang="es-ES_tradnl"/>
            </a:pPr>
            <a:r>
              <a:rPr lang="en-US"/>
              <a:t>PROCEDENCIA</a:t>
            </a:r>
          </a:p>
        </c:rich>
      </c:tx>
      <c:layout>
        <c:manualLayout>
          <c:xMode val="edge"/>
          <c:yMode val="edge"/>
          <c:x val="0.43025398949971549"/>
          <c:y val="0.16548511817789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293550131300464E-2"/>
          <c:y val="0.23425742168338123"/>
          <c:w val="0.91659377324054669"/>
          <c:h val="0.70019257865826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MENSUAL 1'!$C$32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'INFORME MENSUAL 1'!$B$33:$B$35</c:f>
              <c:strCache>
                <c:ptCount val="3"/>
                <c:pt idx="0">
                  <c:v>EXTERNO</c:v>
                </c:pt>
                <c:pt idx="1">
                  <c:v>HOSPITALIZACION</c:v>
                </c:pt>
                <c:pt idx="2">
                  <c:v>URGENCIAS</c:v>
                </c:pt>
              </c:strCache>
            </c:strRef>
          </c:cat>
          <c:val>
            <c:numRef>
              <c:f>'INFORME MENSUAL 1'!$C$33:$C$35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70-47C8-A4B9-6C4AC0946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53984"/>
        <c:axId val="195359872"/>
      </c:barChart>
      <c:catAx>
        <c:axId val="19535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_tradnl"/>
            </a:pPr>
            <a:endParaRPr lang="es-MX"/>
          </a:p>
        </c:txPr>
        <c:crossAx val="195359872"/>
        <c:crosses val="autoZero"/>
        <c:auto val="1"/>
        <c:lblAlgn val="ctr"/>
        <c:lblOffset val="100"/>
        <c:noMultiLvlLbl val="0"/>
      </c:catAx>
      <c:valAx>
        <c:axId val="195359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_tradnl"/>
            </a:pPr>
            <a:endParaRPr lang="es-MX"/>
          </a:p>
        </c:txPr>
        <c:crossAx val="19535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89000"/>
      </a:blip>
      <a:srcRect/>
      <a:stretch>
        <a:fillRect l="10000" r="10000" b="84000"/>
      </a:stretch>
    </a:blipFill>
  </c:sp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lang="es-ES_tradnl"/>
            </a:pPr>
            <a:r>
              <a:rPr lang="en-US"/>
              <a:t>INTERPRETACIONES POR MEDICO</a:t>
            </a:r>
          </a:p>
        </c:rich>
      </c:tx>
      <c:layout>
        <c:manualLayout>
          <c:xMode val="edge"/>
          <c:yMode val="edge"/>
          <c:x val="0.32699750814976514"/>
          <c:y val="0.1695213552851348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899183778167791E-2"/>
          <c:y val="0.23022119928879856"/>
          <c:w val="0.86921592970490158"/>
          <c:h val="0.70422880105285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MENSUAL 1'!$B$44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'INFORME MENSUAL 1'!$A$45:$A$50</c:f>
              <c:strCache>
                <c:ptCount val="6"/>
                <c:pt idx="0">
                  <c:v>Dra. Elisa Martinez</c:v>
                </c:pt>
                <c:pt idx="1">
                  <c:v>Dr. Garly González</c:v>
                </c:pt>
                <c:pt idx="2">
                  <c:v>Dr. Ricardo Salazar</c:v>
                </c:pt>
                <c:pt idx="3">
                  <c:v>Dr. Roberto Sotelo</c:v>
                </c:pt>
                <c:pt idx="4">
                  <c:v>Dr. Agustin Rmz</c:v>
                </c:pt>
                <c:pt idx="5">
                  <c:v>Sin Interpretacion</c:v>
                </c:pt>
              </c:strCache>
            </c:strRef>
          </c:cat>
          <c:val>
            <c:numRef>
              <c:f>'INFORME MENSUAL 1'!$B$45:$B$50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37-4240-8BB4-91597D260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37216"/>
        <c:axId val="164147200"/>
      </c:barChart>
      <c:catAx>
        <c:axId val="16413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_tradnl"/>
            </a:pPr>
            <a:endParaRPr lang="es-MX"/>
          </a:p>
        </c:txPr>
        <c:crossAx val="164147200"/>
        <c:crosses val="autoZero"/>
        <c:auto val="1"/>
        <c:lblAlgn val="ctr"/>
        <c:lblOffset val="100"/>
        <c:noMultiLvlLbl val="0"/>
      </c:catAx>
      <c:valAx>
        <c:axId val="164147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_tradnl"/>
            </a:pPr>
            <a:endParaRPr lang="es-MX"/>
          </a:p>
        </c:txPr>
        <c:crossAx val="164137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 l="10000" r="10000" b="84000"/>
      </a:stretch>
    </a:blipFill>
  </c:sp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lang="es-ES_tradnl"/>
            </a:pPr>
            <a:r>
              <a:rPr lang="en-US"/>
              <a:t>ESTUDIOS REALIZADOS POR TECNICOS</a:t>
            </a:r>
          </a:p>
        </c:rich>
      </c:tx>
      <c:layout>
        <c:manualLayout>
          <c:xMode val="edge"/>
          <c:yMode val="edge"/>
          <c:x val="0.29477208088262896"/>
          <c:y val="0.1675032211882605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899183778167791E-2"/>
          <c:y val="0.23223931048610533"/>
          <c:w val="0.92098813959367964"/>
          <c:h val="0.70221068985555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MENSUAL 1'!$F$45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'INFORME MENSUAL 1'!$E$46:$E$49</c:f>
              <c:strCache>
                <c:ptCount val="4"/>
                <c:pt idx="0">
                  <c:v>TR Martin Luna</c:v>
                </c:pt>
                <c:pt idx="1">
                  <c:v>TR Hilda Thirion</c:v>
                </c:pt>
                <c:pt idx="2">
                  <c:v>TR Joel Baltazar</c:v>
                </c:pt>
                <c:pt idx="3">
                  <c:v>TR Miguel Vidargas</c:v>
                </c:pt>
              </c:strCache>
            </c:strRef>
          </c:cat>
          <c:val>
            <c:numRef>
              <c:f>'INFORME MENSUAL 1'!$F$46:$F$49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B-452C-B1E6-7FEAFFFB6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91328"/>
        <c:axId val="164292864"/>
      </c:barChart>
      <c:catAx>
        <c:axId val="1642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_tradnl"/>
            </a:pPr>
            <a:endParaRPr lang="es-MX"/>
          </a:p>
        </c:txPr>
        <c:crossAx val="164292864"/>
        <c:crosses val="autoZero"/>
        <c:auto val="1"/>
        <c:lblAlgn val="ctr"/>
        <c:lblOffset val="100"/>
        <c:noMultiLvlLbl val="0"/>
      </c:catAx>
      <c:valAx>
        <c:axId val="164292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_tradnl"/>
            </a:pPr>
            <a:endParaRPr lang="es-MX"/>
          </a:p>
        </c:txPr>
        <c:crossAx val="164291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89000"/>
      </a:blip>
      <a:srcRect/>
      <a:stretch>
        <a:fillRect l="10000" r="10000" b="84000"/>
      </a:stretch>
    </a:blipFill>
  </c:sp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/>
  </sheetViews>
  <pageMargins left="0.7" right="0.7" top="0.75" bottom="0.75" header="0.3" footer="0.3"/>
  <pageSetup orientation="landscape" horizontalDpi="4294967294" verticalDpi="4294967294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17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1571625</xdr:colOff>
      <xdr:row>0</xdr:row>
      <xdr:rowOff>190500</xdr:rowOff>
    </xdr:from>
    <xdr:to>
      <xdr:col>12</xdr:col>
      <xdr:colOff>1057275</xdr:colOff>
      <xdr:row>3</xdr:row>
      <xdr:rowOff>238125</xdr:rowOff>
    </xdr:to>
    <xdr:pic>
      <xdr:nvPicPr>
        <xdr:cNvPr id="1028" name="1 Imagen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8325" y="190500"/>
          <a:ext cx="11334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0</xdr:row>
      <xdr:rowOff>215901</xdr:rowOff>
    </xdr:from>
    <xdr:to>
      <xdr:col>2</xdr:col>
      <xdr:colOff>682625</xdr:colOff>
      <xdr:row>3</xdr:row>
      <xdr:rowOff>157680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34E0F59-B1E6-42C2-A5BB-EF8ACA6C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215901"/>
          <a:ext cx="1235075" cy="894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0.00094</cdr:x>
      <cdr:y>0.96958</cdr:y>
    </cdr:from>
    <cdr:to>
      <cdr:x>0.22535</cdr:x>
      <cdr:y>0.99254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41" y="6097627"/>
          <a:ext cx="1945704" cy="144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00"/>
            <a:t>F02-MOP-SDP-02 Rev. 03</a:t>
          </a:r>
          <a:r>
            <a:rPr lang="es-MX" sz="1000" baseline="0"/>
            <a:t> DIC 20</a:t>
          </a:r>
          <a:endParaRPr lang="es-MX" sz="1000"/>
        </a:p>
      </cdr:txBody>
    </cdr:sp>
  </cdr:relSizeAnchor>
  <cdr:relSizeAnchor xmlns:cdr="http://schemas.openxmlformats.org/drawingml/2006/chartDrawing">
    <cdr:from>
      <cdr:x>0.11369</cdr:x>
      <cdr:y>0.02862</cdr:y>
    </cdr:from>
    <cdr:to>
      <cdr:x>0.27751</cdr:x>
      <cdr:y>0.18862</cdr:y>
    </cdr:to>
    <cdr:pic>
      <cdr:nvPicPr>
        <cdr:cNvPr id="8193" name="Picture 1" descr="SS 202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84250" y="179916"/>
          <a:ext cx="1418167" cy="1005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0.97283</cdr:y>
    </cdr:from>
    <cdr:to>
      <cdr:x>0.21992</cdr:x>
      <cdr:y>0.99902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6122050"/>
          <a:ext cx="1905000" cy="164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00"/>
            <a:t>F02-MOP-SDP-02 Rev. 03</a:t>
          </a:r>
          <a:r>
            <a:rPr lang="es-MX" sz="1000" baseline="0"/>
            <a:t> DIC 20</a:t>
          </a:r>
          <a:endParaRPr lang="es-MX" sz="1000"/>
        </a:p>
      </cdr:txBody>
    </cdr:sp>
  </cdr:relSizeAnchor>
  <cdr:relSizeAnchor xmlns:cdr="http://schemas.openxmlformats.org/drawingml/2006/chartDrawing">
    <cdr:from>
      <cdr:x>0.11748</cdr:x>
      <cdr:y>0.03493</cdr:y>
    </cdr:from>
    <cdr:to>
      <cdr:x>0.26504</cdr:x>
      <cdr:y>0.163</cdr:y>
    </cdr:to>
    <cdr:pic>
      <cdr:nvPicPr>
        <cdr:cNvPr id="9217" name="Picture 1" descr="SS 202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17629" y="219808"/>
          <a:ext cx="1278141" cy="8059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552450</xdr:colOff>
      <xdr:row>0</xdr:row>
      <xdr:rowOff>190500</xdr:rowOff>
    </xdr:from>
    <xdr:to>
      <xdr:col>10</xdr:col>
      <xdr:colOff>66675</xdr:colOff>
      <xdr:row>4</xdr:row>
      <xdr:rowOff>76200</xdr:rowOff>
    </xdr:to>
    <xdr:pic>
      <xdr:nvPicPr>
        <xdr:cNvPr id="2052" name="1 Imagen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190500"/>
          <a:ext cx="1143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492580</xdr:colOff>
      <xdr:row>0</xdr:row>
      <xdr:rowOff>161925</xdr:rowOff>
    </xdr:from>
    <xdr:to>
      <xdr:col>2</xdr:col>
      <xdr:colOff>435430</xdr:colOff>
      <xdr:row>4</xdr:row>
      <xdr:rowOff>47924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172C00B9-1843-4BD1-9B86-4AF43543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1973" y="161925"/>
          <a:ext cx="1235528" cy="1001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257175</xdr:rowOff>
    </xdr:from>
    <xdr:to>
      <xdr:col>7</xdr:col>
      <xdr:colOff>571500</xdr:colOff>
      <xdr:row>4</xdr:row>
      <xdr:rowOff>200025</xdr:rowOff>
    </xdr:to>
    <xdr:pic>
      <xdr:nvPicPr>
        <xdr:cNvPr id="3076" name="1 Imagen">
          <a:extLst>
            <a:ext uri="{FF2B5EF4-FFF2-40B4-BE49-F238E27FC236}">
              <a16:creationId xmlns:a16="http://schemas.microsoft.com/office/drawing/2014/main" xmlns="" id="{00000000-0008-0000-03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257175"/>
          <a:ext cx="1143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340519</xdr:colOff>
      <xdr:row>0</xdr:row>
      <xdr:rowOff>307182</xdr:rowOff>
    </xdr:from>
    <xdr:to>
      <xdr:col>0</xdr:col>
      <xdr:colOff>1524001</xdr:colOff>
      <xdr:row>4</xdr:row>
      <xdr:rowOff>208095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0A3CBB2-2DB7-46D8-B6B2-E7C6F671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519" y="307182"/>
          <a:ext cx="1183482" cy="948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2638425</xdr:colOff>
      <xdr:row>0</xdr:row>
      <xdr:rowOff>190500</xdr:rowOff>
    </xdr:from>
    <xdr:to>
      <xdr:col>7</xdr:col>
      <xdr:colOff>28575</xdr:colOff>
      <xdr:row>4</xdr:row>
      <xdr:rowOff>123825</xdr:rowOff>
    </xdr:to>
    <xdr:pic>
      <xdr:nvPicPr>
        <xdr:cNvPr id="4100" name="1 Imagen">
          <a:extLst>
            <a:ext uri="{FF2B5EF4-FFF2-40B4-BE49-F238E27FC236}">
              <a16:creationId xmlns:a16="http://schemas.microsoft.com/office/drawing/2014/main" xmlns="" id="{00000000-0008-0000-0400-00000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90500"/>
          <a:ext cx="838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219075</xdr:rowOff>
    </xdr:from>
    <xdr:to>
      <xdr:col>1</xdr:col>
      <xdr:colOff>1000125</xdr:colOff>
      <xdr:row>4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61C189E-6F98-451F-9C55-ADD0F48A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19075"/>
          <a:ext cx="990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104775</xdr:rowOff>
    </xdr:from>
    <xdr:to>
      <xdr:col>5</xdr:col>
      <xdr:colOff>38100</xdr:colOff>
      <xdr:row>3</xdr:row>
      <xdr:rowOff>114300</xdr:rowOff>
    </xdr:to>
    <xdr:pic>
      <xdr:nvPicPr>
        <xdr:cNvPr id="5124" name="1 Imagen">
          <a:extLst>
            <a:ext uri="{FF2B5EF4-FFF2-40B4-BE49-F238E27FC236}">
              <a16:creationId xmlns:a16="http://schemas.microsoft.com/office/drawing/2014/main" xmlns="" id="{00000000-0008-0000-0500-00000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04775"/>
          <a:ext cx="838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142875</xdr:rowOff>
    </xdr:from>
    <xdr:to>
      <xdr:col>1</xdr:col>
      <xdr:colOff>1000125</xdr:colOff>
      <xdr:row>3</xdr:row>
      <xdr:rowOff>49184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FA0FF72-FFBF-4450-9168-1B0A1C64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42875"/>
          <a:ext cx="990600" cy="830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85725</xdr:colOff>
      <xdr:row>4</xdr:row>
      <xdr:rowOff>114300</xdr:rowOff>
    </xdr:to>
    <xdr:pic>
      <xdr:nvPicPr>
        <xdr:cNvPr id="6146" name="Picture 1">
          <a:extLst>
            <a:ext uri="{FF2B5EF4-FFF2-40B4-BE49-F238E27FC236}">
              <a16:creationId xmlns:a16="http://schemas.microsoft.com/office/drawing/2014/main" xmlns="" id="{00000000-0008-0000-06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6" t="-4059" r="6808" b="30997"/>
        <a:stretch>
          <a:fillRect/>
        </a:stretch>
      </xdr:blipFill>
      <xdr:spPr bwMode="auto">
        <a:xfrm>
          <a:off x="0" y="66675"/>
          <a:ext cx="16859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0.00658</cdr:x>
      <cdr:y>0.96766</cdr:y>
    </cdr:from>
    <cdr:to>
      <cdr:x>0.27068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6995" y="6089497"/>
          <a:ext cx="2287619" cy="203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/>
            <a:t>F02-MOP-SDP-02 Rev. 03</a:t>
          </a:r>
          <a:r>
            <a:rPr lang="es-MX" sz="1000" baseline="0"/>
            <a:t> DIC 20</a:t>
          </a:r>
          <a:endParaRPr lang="es-MX" sz="1000"/>
        </a:p>
      </cdr:txBody>
    </cdr:sp>
  </cdr:relSizeAnchor>
  <cdr:relSizeAnchor xmlns:cdr="http://schemas.openxmlformats.org/drawingml/2006/chartDrawing">
    <cdr:from>
      <cdr:x>0.09492</cdr:x>
      <cdr:y>0.00906</cdr:y>
    </cdr:from>
    <cdr:to>
      <cdr:x>0.26692</cdr:x>
      <cdr:y>0.18252</cdr:y>
    </cdr:to>
    <cdr:pic>
      <cdr:nvPicPr>
        <cdr:cNvPr id="7169" name="Picture 1" descr="SS 202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2244" y="56987"/>
          <a:ext cx="1489807" cy="1091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/AppData/Local/Temp/Bertha%20escritorio/REPORTE%20MENSUAL%20TAC%202014/REPORTE%20MENSUAL%20RM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A DE DATOS"/>
      <sheetName val="CAPTURA 2"/>
      <sheetName val="INFORME MENSUAL 1"/>
      <sheetName val="INFORME MENSUAL 2"/>
      <sheetName val="RESUMEN"/>
      <sheetName val="HOJA DE REFERENCIA"/>
      <sheetName val="Gráfico1"/>
      <sheetName val="Gráfico2"/>
      <sheetName val="Gráfico3"/>
      <sheetName val="Hoja1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CRANEO</v>
          </cell>
          <cell r="E2" t="str">
            <v>AUDIOLOGIA/OTONEUROLOGIA</v>
          </cell>
        </row>
        <row r="3">
          <cell r="C3" t="str">
            <v>SILLA TURCA</v>
          </cell>
          <cell r="E3" t="str">
            <v>FONIATRIA</v>
          </cell>
        </row>
        <row r="4">
          <cell r="C4" t="str">
            <v>ORBITAS</v>
          </cell>
          <cell r="E4" t="str">
            <v>PATOLOGIA DEL LENGUAJE</v>
          </cell>
        </row>
        <row r="5">
          <cell r="A5" t="str">
            <v>Isabel</v>
          </cell>
          <cell r="C5" t="str">
            <v>ARTICULACION TEMPOROMANDIBULAR</v>
          </cell>
          <cell r="E5" t="str">
            <v>REHAB AMPUTADOS</v>
          </cell>
        </row>
        <row r="6">
          <cell r="A6" t="str">
            <v>Ana Maria</v>
          </cell>
          <cell r="C6" t="str">
            <v>FOSA POSTERIOR</v>
          </cell>
          <cell r="E6" t="str">
            <v>REHAB DEL DEPORTE</v>
          </cell>
        </row>
        <row r="7">
          <cell r="A7" t="str">
            <v>Socorro</v>
          </cell>
          <cell r="C7" t="str">
            <v>OIDOS</v>
          </cell>
          <cell r="E7" t="str">
            <v>REHAB DE COLUMNA</v>
          </cell>
        </row>
        <row r="8">
          <cell r="A8" t="str">
            <v>Martha</v>
          </cell>
          <cell r="C8" t="str">
            <v>LARINGE</v>
          </cell>
          <cell r="E8" t="str">
            <v>REHAB OSTEOARTICULAR</v>
          </cell>
        </row>
        <row r="9">
          <cell r="A9" t="str">
            <v>Residentes</v>
          </cell>
          <cell r="C9" t="str">
            <v>GLANDULAS PARATIROIDES</v>
          </cell>
          <cell r="E9" t="str">
            <v>NEUROLOGIA</v>
          </cell>
        </row>
        <row r="10">
          <cell r="A10" t="str">
            <v>S/I</v>
          </cell>
          <cell r="C10" t="str">
            <v>OIDOS UNA REGION</v>
          </cell>
          <cell r="E10" t="str">
            <v>REHAB LESIONADOS MEDULARES</v>
          </cell>
        </row>
        <row r="11">
          <cell r="C11" t="str">
            <v>CUELLO</v>
          </cell>
          <cell r="E11" t="str">
            <v>REHAB ENFERMEDAD VASCULAR CEREBRAL</v>
          </cell>
        </row>
        <row r="12">
          <cell r="C12" t="str">
            <v>COLUMNA CERVICAL</v>
          </cell>
          <cell r="E12" t="str">
            <v>REHAB EN TRAUMA CRANEO ENCEFALICO</v>
          </cell>
        </row>
        <row r="13">
          <cell r="C13" t="str">
            <v>COLUMNA DORSAL</v>
          </cell>
          <cell r="E13" t="str">
            <v>MALFORMACIONES CONGENITAS Y DEFECTOS DEL TUBO NEURAL</v>
          </cell>
        </row>
        <row r="14">
          <cell r="C14" t="str">
            <v>COLUMNA LUMBOSACRA</v>
          </cell>
          <cell r="E14" t="str">
            <v>PARALISIS CEREBRAL Y ESTIMULACION TEMPRANA</v>
          </cell>
        </row>
        <row r="15">
          <cell r="C15" t="str">
            <v>TORAX</v>
          </cell>
          <cell r="E15" t="str">
            <v>REHAB GERIATRICA</v>
          </cell>
        </row>
        <row r="16">
          <cell r="C16" t="str">
            <v>ABDOMEN SUPERIOR</v>
          </cell>
          <cell r="E16" t="str">
            <v>REHAB PULMONAR</v>
          </cell>
        </row>
        <row r="17">
          <cell r="C17" t="str">
            <v>HOMBRO UNA REGION</v>
          </cell>
          <cell r="E17" t="str">
            <v>REHAB CARDIACA</v>
          </cell>
        </row>
        <row r="18">
          <cell r="C18" t="str">
            <v>HOMBRO DOS REGIONES</v>
          </cell>
          <cell r="E18" t="str">
            <v>CARDIOLOGIA</v>
          </cell>
        </row>
        <row r="19">
          <cell r="C19" t="str">
            <v>ARTRORESONANCIA DE HOMBRO</v>
          </cell>
          <cell r="E19" t="str">
            <v>CLINICA DE MEDICINA DEL DEPORTE</v>
          </cell>
        </row>
        <row r="20">
          <cell r="C20" t="str">
            <v>CODO UNA REGION</v>
          </cell>
          <cell r="E20" t="str">
            <v>ELECTROMIOGRAFIA Y DISTROFIA MUSCULAR</v>
          </cell>
        </row>
        <row r="21">
          <cell r="C21" t="str">
            <v>AMBOS CODOS</v>
          </cell>
          <cell r="E21" t="str">
            <v>REC ARTICULAR DE CADERA Y RODILLA</v>
          </cell>
        </row>
        <row r="22">
          <cell r="C22" t="str">
            <v>MUÑECA UNA REGION</v>
          </cell>
          <cell r="E22" t="str">
            <v>REC ARTICULAR DE HOMBRO Y CODO</v>
          </cell>
        </row>
        <row r="23">
          <cell r="C23" t="str">
            <v>AMBAS MUÑECAS</v>
          </cell>
          <cell r="E23" t="str">
            <v>REUMATOLOGIA</v>
          </cell>
        </row>
        <row r="24">
          <cell r="C24" t="str">
            <v>MANO UNA REGION</v>
          </cell>
          <cell r="E24" t="str">
            <v>ORTOPEDIA DEL DEPORTE Y ARTROSCOPIA</v>
          </cell>
        </row>
        <row r="25">
          <cell r="C25" t="str">
            <v>AMBAS MANOS</v>
          </cell>
          <cell r="E25" t="str">
            <v>CIRUGIA DE MANO</v>
          </cell>
        </row>
        <row r="26">
          <cell r="C26" t="str">
            <v xml:space="preserve">CADERA UNA REGION </v>
          </cell>
          <cell r="E26" t="str">
            <v>CIRUGIA DE TUMORES OSEOS</v>
          </cell>
        </row>
        <row r="27">
          <cell r="C27" t="str">
            <v>AMBAS CADERAS</v>
          </cell>
          <cell r="E27" t="str">
            <v>CIRUGIA DE COLUMNA</v>
          </cell>
        </row>
        <row r="28">
          <cell r="C28" t="str">
            <v>RODILLA UNA REGION</v>
          </cell>
          <cell r="E28" t="str">
            <v>INFECCIONES OSEAS Y PSEUDOARTROSIS</v>
          </cell>
        </row>
        <row r="29">
          <cell r="C29" t="str">
            <v>AMBAS RODILLAS</v>
          </cell>
          <cell r="E29" t="str">
            <v>TRAUMATOLOGIA</v>
          </cell>
        </row>
        <row r="30">
          <cell r="C30" t="str">
            <v>ARTRORESONANCIA DE RODILLA</v>
          </cell>
          <cell r="E30" t="str">
            <v>URGENCIAS</v>
          </cell>
        </row>
        <row r="31">
          <cell r="C31" t="str">
            <v>TOBILLO UNA REGION</v>
          </cell>
          <cell r="E31" t="str">
            <v>ORTOPEDIA PEDIATRICA</v>
          </cell>
        </row>
        <row r="32">
          <cell r="C32" t="str">
            <v>AMBOS TOBILLOS</v>
          </cell>
          <cell r="E32" t="str">
            <v>DEFORMIDADES NEUROMUSCULARES</v>
          </cell>
        </row>
        <row r="33">
          <cell r="C33" t="str">
            <v>PIE UNA REGION</v>
          </cell>
          <cell r="E33" t="str">
            <v>ANESTESIOLOGIA</v>
          </cell>
        </row>
        <row r="34">
          <cell r="C34" t="str">
            <v>AMBOS PIES</v>
          </cell>
          <cell r="E34" t="str">
            <v>TERAPIA INTENSIVA Y MEDICINA INTERNA</v>
          </cell>
        </row>
        <row r="35">
          <cell r="C35" t="str">
            <v>ANGIORESONANCIA DE ARTERIAS DEL CRANEO</v>
          </cell>
          <cell r="E35" t="str">
            <v>OFTALMOLOGIA</v>
          </cell>
        </row>
        <row r="36">
          <cell r="C36" t="str">
            <v>ANGIORESONANCIA DE VENAS DEL CRANEO</v>
          </cell>
          <cell r="E36" t="str">
            <v>TRASTORNOS DE AUDICION Y EQUILIBRIO</v>
          </cell>
        </row>
        <row r="37">
          <cell r="C37" t="str">
            <v>ANGIORESONANCIA DE ARTERIAS DEL CUELLO</v>
          </cell>
          <cell r="E37" t="str">
            <v>APARATO FONOARTICULADOR Y DE LA DEGLUCION</v>
          </cell>
        </row>
        <row r="38">
          <cell r="C38" t="str">
            <v>ANGIORESONANCIA DE VENAS DEL CUELLO</v>
          </cell>
          <cell r="E38" t="str">
            <v>CENIAQ</v>
          </cell>
        </row>
        <row r="39">
          <cell r="C39" t="str">
            <v>ANGIORESONANCIA DE AORTA TORACICA</v>
          </cell>
        </row>
        <row r="40">
          <cell r="C40" t="str">
            <v>ANGIORESONANCIA DE AORTA ABDOMINAL</v>
          </cell>
        </row>
        <row r="41">
          <cell r="C41" t="str">
            <v>ANGIORESONANCIA DE MIEMBRO TORACICO UNA REGION</v>
          </cell>
        </row>
        <row r="42">
          <cell r="C42" t="str">
            <v>ANGIORESONANCIA DE AMBOS MIEMBROS TORACICOS</v>
          </cell>
        </row>
        <row r="43">
          <cell r="C43" t="str">
            <v>ANGIORESONANCIA DE MIEMBRO PELVICO UNA REGION</v>
          </cell>
        </row>
        <row r="44">
          <cell r="C44" t="str">
            <v>ANGIORESONANCIA DE AMBOS MIEMBROS PELVICOS</v>
          </cell>
        </row>
        <row r="45">
          <cell r="C45" t="str">
            <v>ANGIORESONANCIA DE VENA PORTA</v>
          </cell>
        </row>
        <row r="46">
          <cell r="C46" t="str">
            <v>ANGIORESONANCIA ARTERIAS RENALES</v>
          </cell>
        </row>
        <row r="49">
          <cell r="C49" t="str">
            <v>CABEZA/CUELLO</v>
          </cell>
        </row>
        <row r="50">
          <cell r="C50" t="str">
            <v>COLUMNA CERVICAL</v>
          </cell>
        </row>
        <row r="51">
          <cell r="C51" t="str">
            <v>COLUMNA DORSAL</v>
          </cell>
        </row>
        <row r="52">
          <cell r="C52" t="str">
            <v>COLUMNA LUMBAR</v>
          </cell>
        </row>
        <row r="53">
          <cell r="C53" t="str">
            <v>PELVIS/CADERA</v>
          </cell>
        </row>
        <row r="54">
          <cell r="C54" t="str">
            <v>EXTREMIDADES/ARTICULACIONES</v>
          </cell>
        </row>
        <row r="55">
          <cell r="C55" t="str">
            <v>TORAX</v>
          </cell>
        </row>
        <row r="56">
          <cell r="C56" t="str">
            <v>ARTRORESONANCIA RODILLA</v>
          </cell>
        </row>
        <row r="57">
          <cell r="C57" t="str">
            <v>ARTRORESONANCIA HOMBRO</v>
          </cell>
        </row>
        <row r="58">
          <cell r="C58" t="str">
            <v>ABDOMEN</v>
          </cell>
        </row>
        <row r="59">
          <cell r="C59" t="str">
            <v>ANGIORESONANCIA</v>
          </cell>
        </row>
        <row r="60">
          <cell r="C60" t="str">
            <v>OTROS</v>
          </cell>
        </row>
        <row r="61">
          <cell r="C61" t="str">
            <v>PROTOCOLO</v>
          </cell>
        </row>
      </sheetData>
      <sheetData sheetId="6" refreshError="1"/>
      <sheetData sheetId="7" refreshError="1"/>
      <sheetData sheetId="8" refreshError="1"/>
      <sheetData sheetId="9"/>
    </sheetDataSet>
  </externalBook>
</externalLink>
</file>

<file path=xl/tables/table1.xml><?xml version="1.0" encoding="utf-8"?>
<table xmlns="http://schemas.openxmlformats.org/spreadsheetml/2006/main" id="1" name="Tabla1" displayName="Tabla1" ref="A8:N1005" totalsRowCount="1">
  <autoFilter ref="A8:N1004"/>
  <sortState ref="A6:N1001">
    <sortCondition ref="H5:H1001"/>
  </sortState>
  <tableColumns count="14">
    <tableColumn id="13" name="No. DE EXPEDEINTE" dataDxfId="86" totalsRowDxfId="85"/>
    <tableColumn id="1" name="FECHA" dataDxfId="84" totalsRowDxfId="83"/>
    <tableColumn id="2" name="EDAD" totalsRowFunction="average" dataDxfId="82" totalsRowDxfId="81"/>
    <tableColumn id="3" name="SEXO" dataDxfId="80" totalsRowDxfId="79"/>
    <tableColumn id="4" name="SERVICIO QUE ENVIA PX" dataDxfId="78" totalsRowDxfId="77"/>
    <tableColumn id="15" name="SERVICIO QUE ENVIA EST" dataDxfId="76" totalsRowDxfId="75"/>
    <tableColumn id="5" name="ESTUDIO" dataDxfId="74" totalsRowDxfId="73"/>
    <tableColumn id="11" name="REGION" dataDxfId="72" totalsRowDxfId="71"/>
    <tableColumn id="6" name="CTE" dataDxfId="70" totalsRowDxfId="69"/>
    <tableColumn id="7" name="MEDICO" dataDxfId="68" totalsRowDxfId="67"/>
    <tableColumn id="8" name="TECNICO" dataDxfId="66" totalsRowDxfId="65"/>
    <tableColumn id="12" name="PROCEDENCIA PACIENTE" dataDxfId="64" totalsRowDxfId="63"/>
    <tableColumn id="14" name="PROCEDENCIA ESTUDIO" dataDxfId="62" totalsRowDxfId="61"/>
    <tableColumn id="9" name="Columna1" dataDxfId="60" totalsRowDxfId="59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13" name="Tabla314" displayName="Tabla314" ref="B10:C44" totalsRowCount="1">
  <autoFilter ref="B10:C43"/>
  <tableColumns count="2">
    <tableColumn id="1" name="ESTUDIOS" totalsRowLabel="Total"/>
    <tableColumn id="2" name="TOTAL" totalsRowFunction="sum" dataDxfId="4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5" name="Tabla716" displayName="Tabla716" ref="F9:G47" totalsRowCount="1">
  <autoFilter ref="F9:G46"/>
  <tableColumns count="2">
    <tableColumn id="1" name="ESTUDIOS POR SERVICIO" totalsRowLabel="Total" dataDxfId="3" totalsRowDxfId="2"/>
    <tableColumn id="2" name="TOTAL" totalsRowFunction="sum" dataDxfId="1" totalsRow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2" name="Tabla4" displayName="Tabla4" ref="A8:K41" totalsRowCount="1" headerRowDxfId="58" dataDxfId="57">
  <autoFilter ref="A8:K40"/>
  <tableColumns count="11">
    <tableColumn id="1" name="FECHA" totalsRowLabel="Total para metas" dataDxfId="56" totalsRowDxfId="55"/>
    <tableColumn id="2" name="AGENDADOS AM" dataDxfId="54" totalsRowDxfId="53"/>
    <tableColumn id="9" name="AGENDADOS PM" dataDxfId="52" totalsRowDxfId="51"/>
    <tableColumn id="3" name="TOTAL AGENDADOS" dataDxfId="50" totalsRowDxfId="49"/>
    <tableColumn id="4" name="REALIZADOS AM" totalsRowFunction="custom" dataDxfId="48" totalsRowDxfId="47">
      <totalsRowFormula>(E40)/2</totalsRowFormula>
    </tableColumn>
    <tableColumn id="5" name="REALIZADOS PM" totalsRowFunction="custom" dataDxfId="46" totalsRowDxfId="45">
      <totalsRowFormula>(F40)/2</totalsRowFormula>
    </tableColumn>
    <tableColumn id="8" name="TOTAL REALIZADOS" dataDxfId="44" totalsRowDxfId="43"/>
    <tableColumn id="6" name="COMPLICACIONES" dataDxfId="42" totalsRowDxfId="41"/>
    <tableColumn id="11" name="REPETICIONES" dataDxfId="40" totalsRowDxfId="39"/>
    <tableColumn id="10" name="ENC DE SATISFACCION" dataDxfId="38" totalsRowDxfId="37"/>
    <tableColumn id="7" name="ENC DE NO SATISFACCION" dataDxfId="36" totalsRowDxfId="35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2" name="Tabla2" displayName="Tabla2" ref="A14:H29" totalsRowCount="1">
  <autoFilter ref="A14:H28"/>
  <tableColumns count="8">
    <tableColumn id="1" name="REGION" totalsRowLabel="Total" totalsRowDxfId="34"/>
    <tableColumn id="2" name="0-15" totalsRowFunction="sum" dataDxfId="33" totalsRowDxfId="32"/>
    <tableColumn id="3" name="16-40" totalsRowFunction="sum" dataDxfId="31" totalsRowDxfId="30"/>
    <tableColumn id="4" name="&gt; 40" totalsRowFunction="sum" dataDxfId="29" totalsRowDxfId="28"/>
    <tableColumn id="5" name="TOTAL 1" totalsRowFunction="sum" dataDxfId="27" totalsRowDxfId="26">
      <calculatedColumnFormula>SUM('INFORME MENSUAL 1'!$B15:$D15)</calculatedColumnFormula>
    </tableColumn>
    <tableColumn id="6" name="MASCULINO" totalsRowFunction="sum" dataDxfId="25" totalsRowDxfId="24"/>
    <tableColumn id="7" name="FEMENINO" totalsRowFunction="sum" dataDxfId="23" totalsRowDxfId="22"/>
    <tableColumn id="8" name="TOTAL 2" totalsRowFunction="sum" dataDxfId="21" totalsRowDxfId="20">
      <calculatedColumnFormula>SUM('INFORME MENSUAL 1'!$F15:$G15)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B32:C36" totalsRowCount="1">
  <autoFilter ref="B32:C35"/>
  <tableColumns count="2">
    <tableColumn id="1" name="PROCEDENCIA PACIENTES" totalsRowLabel="Total"/>
    <tableColumn id="2" name="TOTAL" totalsRowFunction="sum" dataDxfId="19" totalsRowDxfId="1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6" name="Tabla6" displayName="Tabla6" ref="E32:F35" totalsRowCount="1">
  <autoFilter ref="E32:F34"/>
  <tableColumns count="2">
    <tableColumn id="1" name="CONTRASTADOS" totalsRowLabel="Total"/>
    <tableColumn id="2" name="TOTAL" totalsRowFunction="sum" dataDxfId="17">
      <calculatedColumnFormula>COUNTIF('CAPTURA DE DATOS'!I8:I1002,"NO")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8" name="Tabla8" displayName="Tabla8" ref="A44:C51" totalsRowCount="1">
  <autoFilter ref="A44:C50"/>
  <tableColumns count="3">
    <tableColumn id="1" name="MEDICO" totalsRowLabel="Total"/>
    <tableColumn id="2" name="TOTAL" totalsRowFunction="sum" dataDxfId="16" totalsRowDxfId="15"/>
    <tableColumn id="3" name="INDICADOR" dataDxfId="14" totalsRowDxfId="13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9" name="Tabla9" displayName="Tabla9" ref="E45:G50" totalsRowCount="1">
  <autoFilter ref="E45:G49"/>
  <tableColumns count="3">
    <tableColumn id="1" name="TECNICO" totalsRowLabel="Total"/>
    <tableColumn id="2" name="TOTAL" totalsRowFunction="sum" dataDxfId="12" totalsRowDxfId="11"/>
    <tableColumn id="3" name="INDICADOR" dataDxfId="10" totalsRowDxfId="9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3" name="Tabla54" displayName="Tabla54" ref="B38:C42" totalsRowCount="1">
  <autoFilter ref="B38:C41"/>
  <tableColumns count="2">
    <tableColumn id="1" name="PROCEDENCIA ESTUDIOS" totalsRowLabel="Total"/>
    <tableColumn id="2" name="TOTAL" totalsRowFunction="sum" dataDxfId="8" totalsRowDxfId="7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7" name="Tabla7" displayName="Tabla7" ref="A54:C58" totalsRowShown="0">
  <autoFilter ref="A54:C58"/>
  <tableColumns count="3">
    <tableColumn id="1" name="INDICADORES"/>
    <tableColumn id="2" name="TOTAL" dataDxfId="6"/>
    <tableColumn id="3" name="PORCENTAJE" dataDxfId="5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6"/>
  <sheetViews>
    <sheetView zoomScale="80" zoomScaleNormal="80" workbookViewId="0">
      <pane ySplit="8" topLeftCell="A811" activePane="bottomLeft" state="frozen"/>
      <selection pane="bottomLeft" activeCell="D1001" sqref="D1001"/>
    </sheetView>
  </sheetViews>
  <sheetFormatPr baseColWidth="10" defaultColWidth="11.42578125" defaultRowHeight="15" x14ac:dyDescent="0.25"/>
  <cols>
    <col min="1" max="1" width="27.28515625" customWidth="1"/>
    <col min="2" max="3" width="12" customWidth="1"/>
    <col min="4" max="4" width="21.42578125" customWidth="1"/>
    <col min="5" max="5" width="34.140625" customWidth="1"/>
    <col min="6" max="6" width="33.42578125" customWidth="1"/>
    <col min="7" max="7" width="21.7109375" customWidth="1"/>
    <col min="8" max="8" width="27.42578125" customWidth="1"/>
    <col min="9" max="9" width="14" customWidth="1"/>
    <col min="10" max="10" width="13.28515625" customWidth="1"/>
    <col min="11" max="11" width="15.85546875" customWidth="1"/>
    <col min="12" max="12" width="24.7109375" customWidth="1"/>
    <col min="13" max="13" width="25.7109375" customWidth="1"/>
  </cols>
  <sheetData>
    <row r="1" spans="1:14" s="107" customFormat="1" ht="23.25" customHeight="1" x14ac:dyDescent="0.5">
      <c r="A1" s="140" t="s">
        <v>285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107" customFormat="1" ht="24.75" customHeight="1" x14ac:dyDescent="0.4">
      <c r="A2" s="141" t="s">
        <v>286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s="107" customFormat="1" ht="24.75" customHeight="1" x14ac:dyDescent="0.4">
      <c r="A3" s="141" t="s">
        <v>287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s="107" customFormat="1" ht="24.75" customHeight="1" x14ac:dyDescent="0.5">
      <c r="A4" s="128"/>
      <c r="B4" s="128"/>
      <c r="C4" s="128"/>
      <c r="D4" s="128"/>
      <c r="E4" s="128"/>
      <c r="F4" s="130"/>
      <c r="G4" s="128"/>
      <c r="H4" s="128"/>
      <c r="I4" s="128"/>
      <c r="J4" s="128"/>
      <c r="K4" s="128"/>
      <c r="L4" s="128"/>
    </row>
    <row r="5" spans="1:14" ht="18.75" x14ac:dyDescent="0.3">
      <c r="A5" s="142" t="s">
        <v>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s="107" customFormat="1" ht="18.75" x14ac:dyDescent="0.3">
      <c r="A6" s="137" t="s">
        <v>291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x14ac:dyDescent="0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4" x14ac:dyDescent="0.25">
      <c r="A8" t="s">
        <v>6</v>
      </c>
      <c r="B8" t="s">
        <v>5</v>
      </c>
      <c r="C8" t="s">
        <v>0</v>
      </c>
      <c r="D8" t="s">
        <v>1</v>
      </c>
      <c r="E8" t="s">
        <v>230</v>
      </c>
      <c r="F8" t="s">
        <v>229</v>
      </c>
      <c r="G8" t="s">
        <v>2</v>
      </c>
      <c r="H8" t="s">
        <v>152</v>
      </c>
      <c r="I8" t="s">
        <v>162</v>
      </c>
      <c r="J8" t="s">
        <v>3</v>
      </c>
      <c r="K8" t="s">
        <v>4</v>
      </c>
      <c r="L8" t="s">
        <v>182</v>
      </c>
      <c r="M8" t="s">
        <v>251</v>
      </c>
      <c r="N8" t="s">
        <v>278</v>
      </c>
    </row>
    <row r="9" spans="1:14" x14ac:dyDescent="0.25">
      <c r="A9" s="97"/>
      <c r="B9" s="9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x14ac:dyDescent="0.25">
      <c r="A10" s="29"/>
      <c r="B10" s="9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x14ac:dyDescent="0.25">
      <c r="A11" s="29"/>
      <c r="B11" s="9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x14ac:dyDescent="0.25">
      <c r="A12" s="29"/>
      <c r="B12" s="90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x14ac:dyDescent="0.25">
      <c r="A13" s="29"/>
      <c r="B13" s="90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x14ac:dyDescent="0.25">
      <c r="A14" s="29"/>
      <c r="B14" s="90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x14ac:dyDescent="0.25">
      <c r="A15" s="29"/>
      <c r="B15" s="9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x14ac:dyDescent="0.25">
      <c r="A16" s="29"/>
      <c r="B16" s="90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29"/>
    </row>
    <row r="17" spans="1:14" x14ac:dyDescent="0.25">
      <c r="A17" s="29"/>
      <c r="B17" s="9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9"/>
      <c r="B18" s="9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9"/>
      <c r="B19" s="90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x14ac:dyDescent="0.25">
      <c r="A20" s="29"/>
      <c r="B20" s="9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9"/>
      <c r="B21" s="9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x14ac:dyDescent="0.25">
      <c r="A22" s="29"/>
      <c r="B22" s="90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x14ac:dyDescent="0.25">
      <c r="A23" s="29"/>
      <c r="B23" s="9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9"/>
      <c r="B24" s="9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9"/>
      <c r="B25" s="9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x14ac:dyDescent="0.25">
      <c r="A26" s="29"/>
      <c r="B26" s="9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9"/>
      <c r="B27" s="9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x14ac:dyDescent="0.25">
      <c r="A28" s="29"/>
      <c r="B28" s="90"/>
      <c r="C28" s="29"/>
      <c r="D28" s="29"/>
      <c r="E28" s="29"/>
      <c r="F28" s="29"/>
      <c r="G28" s="98"/>
      <c r="H28" s="98"/>
      <c r="I28" s="98"/>
      <c r="J28" s="98"/>
      <c r="K28" s="98"/>
      <c r="L28" s="98"/>
      <c r="M28" s="98"/>
      <c r="N28" s="29"/>
    </row>
    <row r="29" spans="1:14" x14ac:dyDescent="0.25">
      <c r="A29" s="29"/>
      <c r="B29" s="90"/>
      <c r="C29" s="29"/>
      <c r="D29" s="29"/>
      <c r="E29" s="29"/>
      <c r="F29" s="29"/>
      <c r="G29" s="98"/>
      <c r="H29" s="98"/>
      <c r="I29" s="98"/>
      <c r="J29" s="98"/>
      <c r="K29" s="98"/>
      <c r="L29" s="98"/>
      <c r="M29" s="98"/>
      <c r="N29" s="29"/>
    </row>
    <row r="30" spans="1:14" x14ac:dyDescent="0.25">
      <c r="A30" s="29"/>
      <c r="B30" s="9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9"/>
      <c r="B31" s="9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x14ac:dyDescent="0.25">
      <c r="A32" s="29"/>
      <c r="B32" s="9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9"/>
      <c r="B33" s="9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25">
      <c r="A34" s="29"/>
      <c r="B34" s="9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5">
      <c r="A35" s="29"/>
      <c r="B35" s="9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9"/>
      <c r="B36" s="9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x14ac:dyDescent="0.25">
      <c r="A37" s="29"/>
      <c r="B37" s="90"/>
      <c r="C37" s="29"/>
      <c r="D37" s="29"/>
      <c r="E37" s="29"/>
      <c r="F37" s="98"/>
      <c r="G37" s="29"/>
      <c r="H37" s="29"/>
      <c r="I37" s="29"/>
      <c r="J37" s="29"/>
      <c r="K37" s="29"/>
      <c r="L37" s="29"/>
      <c r="M37" s="29"/>
      <c r="N37" s="29"/>
    </row>
    <row r="38" spans="1:14" x14ac:dyDescent="0.25">
      <c r="A38" s="29"/>
      <c r="B38" s="90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9"/>
      <c r="B39" s="9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x14ac:dyDescent="0.25">
      <c r="A40" s="29"/>
      <c r="B40" s="9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x14ac:dyDescent="0.25">
      <c r="A41" s="29"/>
      <c r="B41" s="9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9"/>
      <c r="B42" s="9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x14ac:dyDescent="0.25">
      <c r="A43" s="29"/>
      <c r="B43" s="9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x14ac:dyDescent="0.25">
      <c r="A44" s="29"/>
      <c r="B44" s="9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" customHeight="1" x14ac:dyDescent="0.25">
      <c r="A45" s="29"/>
      <c r="B45" s="9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x14ac:dyDescent="0.25">
      <c r="A46" s="29"/>
      <c r="B46" s="9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x14ac:dyDescent="0.25">
      <c r="A47" s="29"/>
      <c r="B47" s="9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9"/>
      <c r="B48" s="9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x14ac:dyDescent="0.25">
      <c r="A49" s="29"/>
      <c r="B49" s="9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x14ac:dyDescent="0.25">
      <c r="A50" s="29"/>
      <c r="B50" s="9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x14ac:dyDescent="0.25">
      <c r="A51" s="31"/>
      <c r="B51" s="9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x14ac:dyDescent="0.25">
      <c r="A52" s="29"/>
      <c r="B52" s="9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x14ac:dyDescent="0.25">
      <c r="A53" s="29"/>
      <c r="B53" s="9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29"/>
      <c r="B54" s="9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x14ac:dyDescent="0.25">
      <c r="A55" s="29"/>
      <c r="B55" s="9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x14ac:dyDescent="0.25">
      <c r="A56" s="29"/>
      <c r="B56" s="90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x14ac:dyDescent="0.25">
      <c r="A57" s="29"/>
      <c r="B57" s="9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x14ac:dyDescent="0.25">
      <c r="A58" s="29"/>
      <c r="B58" s="90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x14ac:dyDescent="0.25">
      <c r="A59" s="29"/>
      <c r="B59" s="9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x14ac:dyDescent="0.25">
      <c r="A60" s="29"/>
      <c r="B60" s="9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x14ac:dyDescent="0.25">
      <c r="A61" s="29"/>
      <c r="B61" s="90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x14ac:dyDescent="0.25">
      <c r="A62" s="29"/>
      <c r="B62" s="90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x14ac:dyDescent="0.25">
      <c r="A63" s="29"/>
      <c r="B63" s="90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9"/>
      <c r="B64" s="90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x14ac:dyDescent="0.25">
      <c r="A65" s="29"/>
      <c r="B65" s="90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x14ac:dyDescent="0.25">
      <c r="A66" s="29"/>
      <c r="B66" s="90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x14ac:dyDescent="0.25">
      <c r="A67" s="29"/>
      <c r="B67" s="90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x14ac:dyDescent="0.25">
      <c r="A68" s="29"/>
      <c r="B68" s="90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x14ac:dyDescent="0.25">
      <c r="A69" s="29"/>
      <c r="B69" s="90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x14ac:dyDescent="0.25">
      <c r="A70" s="29"/>
      <c r="B70" s="90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x14ac:dyDescent="0.25">
      <c r="A71" s="29"/>
      <c r="B71" s="90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x14ac:dyDescent="0.25">
      <c r="A72" s="29"/>
      <c r="B72" s="90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x14ac:dyDescent="0.25">
      <c r="A73" s="29"/>
      <c r="B73" s="90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x14ac:dyDescent="0.25">
      <c r="A74" s="29"/>
      <c r="B74" s="9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x14ac:dyDescent="0.25">
      <c r="A75" s="29"/>
      <c r="B75" s="90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4" x14ac:dyDescent="0.25">
      <c r="A76" s="29"/>
      <c r="B76" s="9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x14ac:dyDescent="0.25">
      <c r="A77" s="29"/>
      <c r="B77" s="90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 x14ac:dyDescent="0.25">
      <c r="A78" s="29"/>
      <c r="B78" s="90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4" x14ac:dyDescent="0.25">
      <c r="A79" s="29"/>
      <c r="B79" s="90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 x14ac:dyDescent="0.25">
      <c r="A80" s="29"/>
      <c r="B80" s="90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</row>
    <row r="81" spans="1:14" x14ac:dyDescent="0.25">
      <c r="A81" s="29"/>
      <c r="B81" s="90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4" x14ac:dyDescent="0.25">
      <c r="A82" s="29"/>
      <c r="B82" s="90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x14ac:dyDescent="0.25">
      <c r="A83" s="29"/>
      <c r="B83" s="9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x14ac:dyDescent="0.25">
      <c r="A84" s="29"/>
      <c r="B84" s="90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x14ac:dyDescent="0.25">
      <c r="A85" s="29"/>
      <c r="B85" s="90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x14ac:dyDescent="0.25">
      <c r="A86" s="29"/>
      <c r="B86" s="9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x14ac:dyDescent="0.25">
      <c r="A87" s="29"/>
      <c r="B87" s="90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x14ac:dyDescent="0.25">
      <c r="A88" s="29"/>
      <c r="B88" s="9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x14ac:dyDescent="0.25">
      <c r="A89" s="29"/>
      <c r="B89" s="90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1:14" x14ac:dyDescent="0.25">
      <c r="A90" s="29"/>
      <c r="B90" s="9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</row>
    <row r="91" spans="1:14" x14ac:dyDescent="0.25">
      <c r="A91" s="29"/>
      <c r="B91" s="9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4" x14ac:dyDescent="0.25">
      <c r="A92" s="29"/>
      <c r="B92" s="9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3" spans="1:14" x14ac:dyDescent="0.25">
      <c r="A93" s="29"/>
      <c r="B93" s="9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0"/>
      <c r="N93" s="29"/>
    </row>
    <row r="94" spans="1:14" x14ac:dyDescent="0.25">
      <c r="A94" s="29"/>
      <c r="B94" s="90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x14ac:dyDescent="0.25">
      <c r="A95" s="29"/>
      <c r="B95" s="90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x14ac:dyDescent="0.25">
      <c r="A96" s="29"/>
      <c r="B96" s="9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x14ac:dyDescent="0.25">
      <c r="A97" s="29"/>
      <c r="B97" s="9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4" x14ac:dyDescent="0.25">
      <c r="A98" s="29"/>
      <c r="B98" s="9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1:14" x14ac:dyDescent="0.25">
      <c r="A99" s="29"/>
      <c r="B99" s="9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1:14" x14ac:dyDescent="0.25">
      <c r="A100" s="29"/>
      <c r="B100" s="9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1:14" x14ac:dyDescent="0.25">
      <c r="A101" s="29"/>
      <c r="B101" s="90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1:14" x14ac:dyDescent="0.25">
      <c r="A102" s="29"/>
      <c r="B102" s="9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29"/>
      <c r="B103" s="90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1:14" x14ac:dyDescent="0.25">
      <c r="A104" s="29"/>
      <c r="B104" s="90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x14ac:dyDescent="0.25">
      <c r="A105" s="29"/>
      <c r="B105" s="90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1:14" x14ac:dyDescent="0.25">
      <c r="A106" s="29"/>
      <c r="B106" s="90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1:14" x14ac:dyDescent="0.25">
      <c r="A107" s="29"/>
      <c r="B107" s="90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x14ac:dyDescent="0.25">
      <c r="A108" s="29"/>
      <c r="B108" s="9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x14ac:dyDescent="0.25">
      <c r="A109" s="29"/>
      <c r="B109" s="9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1:14" x14ac:dyDescent="0.25">
      <c r="A110" s="29"/>
      <c r="B110" s="9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 x14ac:dyDescent="0.25">
      <c r="A111" s="29"/>
      <c r="B111" s="9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4" x14ac:dyDescent="0.25">
      <c r="A112" s="29"/>
      <c r="B112" s="9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4" x14ac:dyDescent="0.25">
      <c r="A113" s="29"/>
      <c r="B113" s="9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1:14" x14ac:dyDescent="0.25">
      <c r="A114" s="29"/>
      <c r="B114" s="9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1:14" x14ac:dyDescent="0.25">
      <c r="A115" s="29"/>
      <c r="B115" s="9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1:14" x14ac:dyDescent="0.25">
      <c r="A116" s="29"/>
      <c r="B116" s="9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1:14" x14ac:dyDescent="0.25">
      <c r="A117" s="29"/>
      <c r="B117" s="9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1:14" x14ac:dyDescent="0.25">
      <c r="A118" s="29"/>
      <c r="B118" s="9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1:14" x14ac:dyDescent="0.25">
      <c r="A119" s="29"/>
      <c r="B119" s="9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</row>
    <row r="120" spans="1:14" x14ac:dyDescent="0.25">
      <c r="A120" s="29"/>
      <c r="B120" s="90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1:14" x14ac:dyDescent="0.25">
      <c r="A121" s="29"/>
      <c r="B121" s="9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</row>
    <row r="122" spans="1:14" x14ac:dyDescent="0.25">
      <c r="A122" s="97"/>
      <c r="B122" s="9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1:14" x14ac:dyDescent="0.25">
      <c r="A123" s="97"/>
      <c r="B123" s="9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4" x14ac:dyDescent="0.25">
      <c r="A124" s="97"/>
      <c r="B124" s="9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1:14" x14ac:dyDescent="0.25">
      <c r="A125" s="97"/>
      <c r="B125" s="9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</row>
    <row r="126" spans="1:14" x14ac:dyDescent="0.25">
      <c r="A126" s="97"/>
      <c r="B126" s="9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</row>
    <row r="127" spans="1:14" x14ac:dyDescent="0.25">
      <c r="A127" s="97"/>
      <c r="B127" s="9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</row>
    <row r="128" spans="1:14" x14ac:dyDescent="0.25">
      <c r="A128" s="97"/>
      <c r="B128" s="9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</row>
    <row r="129" spans="1:14" x14ac:dyDescent="0.25">
      <c r="A129" s="97"/>
      <c r="B129" s="9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</row>
    <row r="130" spans="1:14" x14ac:dyDescent="0.25">
      <c r="A130" s="97"/>
      <c r="B130" s="9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1:14" x14ac:dyDescent="0.25">
      <c r="A131" s="97"/>
      <c r="B131" s="9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</row>
    <row r="132" spans="1:14" x14ac:dyDescent="0.25">
      <c r="A132" s="97"/>
      <c r="B132" s="9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</row>
    <row r="133" spans="1:14" x14ac:dyDescent="0.25">
      <c r="A133" s="97"/>
      <c r="B133" s="9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</row>
    <row r="134" spans="1:14" x14ac:dyDescent="0.25">
      <c r="A134" s="29"/>
      <c r="B134" s="9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</row>
    <row r="135" spans="1:14" x14ac:dyDescent="0.25">
      <c r="A135" s="29"/>
      <c r="B135" s="90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</row>
    <row r="136" spans="1:14" x14ac:dyDescent="0.25">
      <c r="A136" s="29"/>
      <c r="B136" s="90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</row>
    <row r="137" spans="1:14" x14ac:dyDescent="0.25">
      <c r="A137" s="29"/>
      <c r="B137" s="90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</row>
    <row r="138" spans="1:14" x14ac:dyDescent="0.25">
      <c r="A138" s="29"/>
      <c r="B138" s="90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</row>
    <row r="139" spans="1:14" x14ac:dyDescent="0.25">
      <c r="A139" s="29"/>
      <c r="B139" s="90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</row>
    <row r="140" spans="1:14" x14ac:dyDescent="0.25">
      <c r="A140" s="29"/>
      <c r="B140" s="9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</row>
    <row r="141" spans="1:14" x14ac:dyDescent="0.25">
      <c r="A141" s="29"/>
      <c r="B141" s="9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</row>
    <row r="142" spans="1:14" x14ac:dyDescent="0.25">
      <c r="A142" s="29"/>
      <c r="B142" s="9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</row>
    <row r="143" spans="1:14" x14ac:dyDescent="0.25">
      <c r="A143" s="29"/>
      <c r="B143" s="9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</row>
    <row r="144" spans="1:14" x14ac:dyDescent="0.25">
      <c r="A144" s="29"/>
      <c r="B144" s="9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</row>
    <row r="145" spans="1:14" x14ac:dyDescent="0.25">
      <c r="A145" s="29"/>
      <c r="B145" s="9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</row>
    <row r="146" spans="1:14" x14ac:dyDescent="0.25">
      <c r="A146" s="29"/>
      <c r="B146" s="90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</row>
    <row r="147" spans="1:14" x14ac:dyDescent="0.25">
      <c r="A147" s="29"/>
      <c r="B147" s="90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30"/>
      <c r="N147" s="29"/>
    </row>
    <row r="148" spans="1:14" x14ac:dyDescent="0.25">
      <c r="A148" s="29"/>
      <c r="B148" s="90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</row>
    <row r="149" spans="1:14" x14ac:dyDescent="0.25">
      <c r="A149" s="29"/>
      <c r="B149" s="90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</row>
    <row r="150" spans="1:14" x14ac:dyDescent="0.25">
      <c r="A150" s="29"/>
      <c r="B150" s="90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</row>
    <row r="151" spans="1:14" x14ac:dyDescent="0.25">
      <c r="A151" s="29"/>
      <c r="B151" s="90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</row>
    <row r="152" spans="1:14" x14ac:dyDescent="0.25">
      <c r="A152" s="29"/>
      <c r="B152" s="91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</row>
    <row r="153" spans="1:14" x14ac:dyDescent="0.25">
      <c r="A153" s="29"/>
      <c r="B153" s="90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</row>
    <row r="154" spans="1:14" x14ac:dyDescent="0.25">
      <c r="A154" s="29"/>
      <c r="B154" s="90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</row>
    <row r="155" spans="1:14" x14ac:dyDescent="0.25">
      <c r="A155" s="29"/>
      <c r="B155" s="90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</row>
    <row r="156" spans="1:14" x14ac:dyDescent="0.25">
      <c r="A156" s="29"/>
      <c r="B156" s="90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</row>
    <row r="157" spans="1:14" x14ac:dyDescent="0.25">
      <c r="A157" s="29"/>
      <c r="B157" s="90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</row>
    <row r="158" spans="1:14" x14ac:dyDescent="0.25">
      <c r="A158" s="29"/>
      <c r="B158" s="90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</row>
    <row r="159" spans="1:14" x14ac:dyDescent="0.25">
      <c r="A159" s="29"/>
      <c r="B159" s="90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</row>
    <row r="160" spans="1:14" x14ac:dyDescent="0.25">
      <c r="A160" s="29"/>
      <c r="B160" s="90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</row>
    <row r="161" spans="1:14" x14ac:dyDescent="0.25">
      <c r="A161" s="29"/>
      <c r="B161" s="90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</row>
    <row r="162" spans="1:14" x14ac:dyDescent="0.25">
      <c r="A162" s="29"/>
      <c r="B162" s="9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30"/>
      <c r="N162" s="29"/>
    </row>
    <row r="163" spans="1:14" x14ac:dyDescent="0.25">
      <c r="A163" s="29"/>
      <c r="B163" s="90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</row>
    <row r="164" spans="1:14" x14ac:dyDescent="0.25">
      <c r="A164" s="29"/>
      <c r="B164" s="90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</row>
    <row r="165" spans="1:14" x14ac:dyDescent="0.25">
      <c r="A165" s="29"/>
      <c r="B165" s="91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</row>
    <row r="166" spans="1:14" x14ac:dyDescent="0.25">
      <c r="A166" s="29"/>
      <c r="B166" s="90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</row>
    <row r="167" spans="1:14" x14ac:dyDescent="0.25">
      <c r="A167" s="29"/>
      <c r="B167" s="90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</row>
    <row r="168" spans="1:14" x14ac:dyDescent="0.25">
      <c r="A168" s="29"/>
      <c r="B168" s="90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</row>
    <row r="169" spans="1:14" x14ac:dyDescent="0.25">
      <c r="A169" s="29"/>
      <c r="B169" s="90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</row>
    <row r="170" spans="1:14" x14ac:dyDescent="0.25">
      <c r="A170" s="29"/>
      <c r="B170" s="90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</row>
    <row r="171" spans="1:14" x14ac:dyDescent="0.25">
      <c r="A171" s="29"/>
      <c r="B171" s="90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</row>
    <row r="172" spans="1:14" x14ac:dyDescent="0.25">
      <c r="A172" s="29"/>
      <c r="B172" s="91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</row>
    <row r="173" spans="1:14" x14ac:dyDescent="0.25">
      <c r="A173" s="29"/>
      <c r="B173" s="90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</row>
    <row r="174" spans="1:14" x14ac:dyDescent="0.25">
      <c r="A174" s="29"/>
      <c r="B174" s="90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</row>
    <row r="175" spans="1:14" x14ac:dyDescent="0.25">
      <c r="A175" s="29"/>
      <c r="B175" s="90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</row>
    <row r="176" spans="1:14" x14ac:dyDescent="0.25">
      <c r="A176" s="29"/>
      <c r="B176" s="90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</row>
    <row r="177" spans="1:14" x14ac:dyDescent="0.25">
      <c r="A177" s="29"/>
      <c r="B177" s="90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</row>
    <row r="178" spans="1:14" x14ac:dyDescent="0.25">
      <c r="A178" s="29"/>
      <c r="B178" s="90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</row>
    <row r="179" spans="1:14" x14ac:dyDescent="0.25">
      <c r="A179" s="29"/>
      <c r="B179" s="90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</row>
    <row r="180" spans="1:14" x14ac:dyDescent="0.25">
      <c r="A180" s="29"/>
      <c r="B180" s="90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</row>
    <row r="181" spans="1:14" x14ac:dyDescent="0.25">
      <c r="A181" s="29"/>
      <c r="B181" s="90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</row>
    <row r="182" spans="1:14" x14ac:dyDescent="0.25">
      <c r="A182" s="29"/>
      <c r="B182" s="90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</row>
    <row r="183" spans="1:14" x14ac:dyDescent="0.25">
      <c r="A183" s="29"/>
      <c r="B183" s="90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</row>
    <row r="184" spans="1:14" x14ac:dyDescent="0.25">
      <c r="A184" s="29"/>
      <c r="B184" s="90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</row>
    <row r="185" spans="1:14" x14ac:dyDescent="0.25">
      <c r="A185" s="29"/>
      <c r="B185" s="90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</row>
    <row r="186" spans="1:14" x14ac:dyDescent="0.25">
      <c r="A186" s="29"/>
      <c r="B186" s="90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</row>
    <row r="187" spans="1:14" x14ac:dyDescent="0.25">
      <c r="A187" s="29"/>
      <c r="B187" s="90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</row>
    <row r="188" spans="1:14" x14ac:dyDescent="0.25">
      <c r="A188" s="29"/>
      <c r="B188" s="90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</row>
    <row r="189" spans="1:14" x14ac:dyDescent="0.25">
      <c r="A189" s="29"/>
      <c r="B189" s="90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</row>
    <row r="190" spans="1:14" x14ac:dyDescent="0.25">
      <c r="A190" s="29"/>
      <c r="B190" s="90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</row>
    <row r="191" spans="1:14" x14ac:dyDescent="0.25">
      <c r="A191" s="29"/>
      <c r="B191" s="90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</row>
    <row r="192" spans="1:14" x14ac:dyDescent="0.25">
      <c r="A192" s="29"/>
      <c r="B192" s="90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</row>
    <row r="193" spans="1:14" x14ac:dyDescent="0.25">
      <c r="A193" s="29"/>
      <c r="B193" s="90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</row>
    <row r="194" spans="1:14" x14ac:dyDescent="0.25">
      <c r="A194" s="29"/>
      <c r="B194" s="90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</row>
    <row r="195" spans="1:14" x14ac:dyDescent="0.25">
      <c r="A195" s="29"/>
      <c r="B195" s="90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</row>
    <row r="196" spans="1:14" x14ac:dyDescent="0.25">
      <c r="A196" s="29"/>
      <c r="B196" s="90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</row>
    <row r="197" spans="1:14" x14ac:dyDescent="0.25">
      <c r="A197" s="29"/>
      <c r="B197" s="90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</row>
    <row r="198" spans="1:14" x14ac:dyDescent="0.25">
      <c r="A198" s="29"/>
      <c r="B198" s="90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</row>
    <row r="199" spans="1:14" x14ac:dyDescent="0.25">
      <c r="A199" s="29"/>
      <c r="B199" s="90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</row>
    <row r="200" spans="1:14" x14ac:dyDescent="0.25">
      <c r="A200" s="29"/>
      <c r="B200" s="90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</row>
    <row r="201" spans="1:14" x14ac:dyDescent="0.25">
      <c r="A201" s="29"/>
      <c r="B201" s="91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</row>
    <row r="202" spans="1:14" x14ac:dyDescent="0.25">
      <c r="A202" s="29"/>
      <c r="B202" s="90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</row>
    <row r="203" spans="1:14" x14ac:dyDescent="0.25">
      <c r="A203" s="29"/>
      <c r="B203" s="90"/>
      <c r="C203" s="29"/>
      <c r="D203" s="29"/>
      <c r="E203" s="29"/>
      <c r="F203" s="29"/>
      <c r="G203" s="30"/>
      <c r="H203" s="29"/>
      <c r="I203" s="30"/>
      <c r="J203" s="30"/>
      <c r="K203" s="30"/>
      <c r="L203" s="30"/>
      <c r="M203" s="29"/>
      <c r="N203" s="29"/>
    </row>
    <row r="204" spans="1:14" x14ac:dyDescent="0.25">
      <c r="A204" s="29"/>
      <c r="B204" s="90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</row>
    <row r="205" spans="1:14" x14ac:dyDescent="0.25">
      <c r="A205" s="29"/>
      <c r="B205" s="90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1:14" x14ac:dyDescent="0.25">
      <c r="A206" s="29"/>
      <c r="B206" s="90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</row>
    <row r="207" spans="1:14" x14ac:dyDescent="0.25">
      <c r="A207" s="29"/>
      <c r="B207" s="90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</row>
    <row r="208" spans="1:14" x14ac:dyDescent="0.25">
      <c r="A208" s="29"/>
      <c r="B208" s="90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x14ac:dyDescent="0.25">
      <c r="A209" s="29"/>
      <c r="B209" s="90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</row>
    <row r="210" spans="1:14" x14ac:dyDescent="0.25">
      <c r="A210" s="29"/>
      <c r="B210" s="90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</row>
    <row r="211" spans="1:14" x14ac:dyDescent="0.25">
      <c r="A211" s="29"/>
      <c r="B211" s="90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</row>
    <row r="212" spans="1:14" x14ac:dyDescent="0.25">
      <c r="A212" s="29"/>
      <c r="B212" s="90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</row>
    <row r="213" spans="1:14" x14ac:dyDescent="0.25">
      <c r="A213" s="29"/>
      <c r="B213" s="90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x14ac:dyDescent="0.25">
      <c r="A214" s="29"/>
      <c r="B214" s="90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</row>
    <row r="215" spans="1:14" x14ac:dyDescent="0.25">
      <c r="A215" s="29"/>
      <c r="B215" s="90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</row>
    <row r="216" spans="1:14" x14ac:dyDescent="0.25">
      <c r="A216" s="29"/>
      <c r="B216" s="90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</row>
    <row r="217" spans="1:14" x14ac:dyDescent="0.25">
      <c r="A217" s="29"/>
      <c r="B217" s="90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</row>
    <row r="218" spans="1:14" x14ac:dyDescent="0.25">
      <c r="A218" s="29"/>
      <c r="B218" s="90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x14ac:dyDescent="0.25">
      <c r="A219" s="29"/>
      <c r="B219" s="90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</row>
    <row r="220" spans="1:14" x14ac:dyDescent="0.25">
      <c r="A220" s="29"/>
      <c r="B220" s="90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</row>
    <row r="221" spans="1:14" x14ac:dyDescent="0.25">
      <c r="A221" s="29"/>
      <c r="B221" s="90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 x14ac:dyDescent="0.25">
      <c r="A222" s="29"/>
      <c r="B222" s="90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</row>
    <row r="223" spans="1:14" x14ac:dyDescent="0.25">
      <c r="A223" s="29"/>
      <c r="B223" s="90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</row>
    <row r="224" spans="1:14" x14ac:dyDescent="0.25">
      <c r="A224" s="29"/>
      <c r="B224" s="90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x14ac:dyDescent="0.25">
      <c r="A225" s="29"/>
      <c r="B225" s="90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</row>
    <row r="226" spans="1:14" x14ac:dyDescent="0.25">
      <c r="A226" s="29"/>
      <c r="B226" s="90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</row>
    <row r="227" spans="1:14" x14ac:dyDescent="0.25">
      <c r="A227" s="29"/>
      <c r="B227" s="90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x14ac:dyDescent="0.25">
      <c r="A228" s="29"/>
      <c r="B228" s="90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x14ac:dyDescent="0.25">
      <c r="A229" s="29"/>
      <c r="B229" s="90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x14ac:dyDescent="0.25">
      <c r="A230" s="29"/>
      <c r="B230" s="90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x14ac:dyDescent="0.25">
      <c r="A231" s="29"/>
      <c r="B231" s="90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1:14" x14ac:dyDescent="0.25">
      <c r="A232" s="29"/>
      <c r="B232" s="90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x14ac:dyDescent="0.25">
      <c r="A233" s="29"/>
      <c r="B233" s="90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</row>
    <row r="234" spans="1:14" x14ac:dyDescent="0.25">
      <c r="A234" s="29"/>
      <c r="B234" s="90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 x14ac:dyDescent="0.25">
      <c r="A235" s="29"/>
      <c r="B235" s="90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</row>
    <row r="236" spans="1:14" x14ac:dyDescent="0.25">
      <c r="A236" s="29"/>
      <c r="B236" s="90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</row>
    <row r="237" spans="1:14" x14ac:dyDescent="0.25">
      <c r="A237" s="29"/>
      <c r="B237" s="90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30"/>
      <c r="N237" s="29"/>
    </row>
    <row r="238" spans="1:14" x14ac:dyDescent="0.25">
      <c r="A238" s="29"/>
      <c r="B238" s="90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</row>
    <row r="239" spans="1:14" x14ac:dyDescent="0.25">
      <c r="A239" s="29"/>
      <c r="B239" s="90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</row>
    <row r="240" spans="1:14" x14ac:dyDescent="0.25">
      <c r="A240" s="29"/>
      <c r="B240" s="90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</row>
    <row r="241" spans="1:14" x14ac:dyDescent="0.25">
      <c r="A241" s="29"/>
      <c r="B241" s="90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</row>
    <row r="242" spans="1:14" x14ac:dyDescent="0.25">
      <c r="A242" s="29"/>
      <c r="B242" s="90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30"/>
      <c r="N242" s="29"/>
    </row>
    <row r="243" spans="1:14" x14ac:dyDescent="0.25">
      <c r="A243" s="29"/>
      <c r="B243" s="90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</row>
    <row r="244" spans="1:14" x14ac:dyDescent="0.25">
      <c r="A244" s="29"/>
      <c r="B244" s="90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</row>
    <row r="245" spans="1:14" x14ac:dyDescent="0.25">
      <c r="A245" s="29"/>
      <c r="B245" s="90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</row>
    <row r="246" spans="1:14" x14ac:dyDescent="0.25">
      <c r="A246" s="29"/>
      <c r="B246" s="90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1:14" x14ac:dyDescent="0.25">
      <c r="A247" s="29"/>
      <c r="B247" s="90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</row>
    <row r="248" spans="1:14" x14ac:dyDescent="0.25">
      <c r="A248" s="29"/>
      <c r="B248" s="90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1:14" x14ac:dyDescent="0.25">
      <c r="A249" s="29"/>
      <c r="B249" s="90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</row>
    <row r="250" spans="1:14" x14ac:dyDescent="0.25">
      <c r="A250" s="29"/>
      <c r="B250" s="90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</row>
    <row r="251" spans="1:14" x14ac:dyDescent="0.25">
      <c r="A251" s="29"/>
      <c r="B251" s="90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</row>
    <row r="252" spans="1:14" x14ac:dyDescent="0.25">
      <c r="A252" s="97"/>
      <c r="B252" s="90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</row>
    <row r="253" spans="1:14" x14ac:dyDescent="0.25">
      <c r="A253" s="29"/>
      <c r="B253" s="90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</row>
    <row r="254" spans="1:14" x14ac:dyDescent="0.25">
      <c r="A254" s="29"/>
      <c r="B254" s="90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</row>
    <row r="255" spans="1:14" x14ac:dyDescent="0.25">
      <c r="A255" s="29"/>
      <c r="B255" s="90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</row>
    <row r="256" spans="1:14" x14ac:dyDescent="0.25">
      <c r="A256" s="29"/>
      <c r="B256" s="90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</row>
    <row r="257" spans="1:14" x14ac:dyDescent="0.25">
      <c r="A257" s="29"/>
      <c r="B257" s="90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</row>
    <row r="258" spans="1:14" x14ac:dyDescent="0.25">
      <c r="A258" s="29"/>
      <c r="B258" s="90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</row>
    <row r="259" spans="1:14" x14ac:dyDescent="0.25">
      <c r="A259" s="29"/>
      <c r="B259" s="90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</row>
    <row r="260" spans="1:14" x14ac:dyDescent="0.25">
      <c r="A260" s="29"/>
      <c r="B260" s="90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</row>
    <row r="261" spans="1:14" x14ac:dyDescent="0.25">
      <c r="A261" s="29"/>
      <c r="B261" s="91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</row>
    <row r="262" spans="1:14" x14ac:dyDescent="0.25">
      <c r="A262" s="29"/>
      <c r="B262" s="90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</row>
    <row r="263" spans="1:14" x14ac:dyDescent="0.25">
      <c r="A263" s="98"/>
      <c r="B263" s="99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29"/>
    </row>
    <row r="264" spans="1:14" x14ac:dyDescent="0.25">
      <c r="A264" s="98"/>
      <c r="B264" s="99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29"/>
    </row>
    <row r="265" spans="1:14" x14ac:dyDescent="0.25">
      <c r="A265" s="98"/>
      <c r="B265" s="99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29"/>
    </row>
    <row r="266" spans="1:14" x14ac:dyDescent="0.25">
      <c r="A266" s="98"/>
      <c r="B266" s="99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29"/>
    </row>
    <row r="267" spans="1:14" x14ac:dyDescent="0.25">
      <c r="A267" s="98"/>
      <c r="B267" s="100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29"/>
    </row>
    <row r="268" spans="1:14" x14ac:dyDescent="0.25">
      <c r="A268" s="98"/>
      <c r="B268" s="99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29"/>
    </row>
    <row r="269" spans="1:14" x14ac:dyDescent="0.25">
      <c r="A269" s="98"/>
      <c r="B269" s="99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29"/>
    </row>
    <row r="270" spans="1:14" x14ac:dyDescent="0.25">
      <c r="A270" s="98"/>
      <c r="B270" s="99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29"/>
    </row>
    <row r="271" spans="1:14" x14ac:dyDescent="0.25">
      <c r="A271" s="98"/>
      <c r="B271" s="99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29"/>
    </row>
    <row r="272" spans="1:14" x14ac:dyDescent="0.25">
      <c r="A272" s="98"/>
      <c r="B272" s="99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29"/>
    </row>
    <row r="273" spans="1:14" x14ac:dyDescent="0.25">
      <c r="A273" s="98"/>
      <c r="B273" s="99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29"/>
    </row>
    <row r="274" spans="1:14" x14ac:dyDescent="0.25">
      <c r="A274" s="98"/>
      <c r="B274" s="99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29"/>
    </row>
    <row r="275" spans="1:14" x14ac:dyDescent="0.25">
      <c r="A275" s="98"/>
      <c r="B275" s="99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29"/>
    </row>
    <row r="276" spans="1:14" x14ac:dyDescent="0.25">
      <c r="A276" s="98"/>
      <c r="B276" s="99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29"/>
    </row>
    <row r="277" spans="1:14" x14ac:dyDescent="0.25">
      <c r="A277" s="98"/>
      <c r="B277" s="99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29"/>
    </row>
    <row r="278" spans="1:14" x14ac:dyDescent="0.25">
      <c r="A278" s="98"/>
      <c r="B278" s="99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29"/>
    </row>
    <row r="279" spans="1:14" x14ac:dyDescent="0.25">
      <c r="A279" s="98"/>
      <c r="B279" s="99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29"/>
    </row>
    <row r="280" spans="1:14" x14ac:dyDescent="0.25">
      <c r="A280" s="98"/>
      <c r="B280" s="99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29"/>
    </row>
    <row r="281" spans="1:14" x14ac:dyDescent="0.25">
      <c r="A281" s="98"/>
      <c r="B281" s="99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29"/>
    </row>
    <row r="282" spans="1:14" x14ac:dyDescent="0.25">
      <c r="A282" s="98"/>
      <c r="B282" s="99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29"/>
    </row>
    <row r="283" spans="1:14" x14ac:dyDescent="0.25">
      <c r="A283" s="98"/>
      <c r="B283" s="99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29"/>
    </row>
    <row r="284" spans="1:14" x14ac:dyDescent="0.25">
      <c r="A284" s="98"/>
      <c r="B284" s="99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29"/>
    </row>
    <row r="285" spans="1:14" x14ac:dyDescent="0.25">
      <c r="A285" s="29"/>
      <c r="B285" s="90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30"/>
      <c r="N285" s="29"/>
    </row>
    <row r="286" spans="1:14" x14ac:dyDescent="0.25">
      <c r="A286" s="29"/>
      <c r="B286" s="90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</row>
    <row r="287" spans="1:14" x14ac:dyDescent="0.25">
      <c r="A287" s="29"/>
      <c r="B287" s="90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</row>
    <row r="288" spans="1:14" x14ac:dyDescent="0.25">
      <c r="A288" s="29"/>
      <c r="B288" s="90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</row>
    <row r="289" spans="1:14" x14ac:dyDescent="0.25">
      <c r="A289" s="29"/>
      <c r="B289" s="90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</row>
    <row r="290" spans="1:14" x14ac:dyDescent="0.25">
      <c r="A290" s="29"/>
      <c r="B290" s="90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</row>
    <row r="291" spans="1:14" x14ac:dyDescent="0.25">
      <c r="A291" s="29"/>
      <c r="B291" s="90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</row>
    <row r="292" spans="1:14" x14ac:dyDescent="0.25">
      <c r="A292" s="29"/>
      <c r="B292" s="90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4" x14ac:dyDescent="0.25">
      <c r="A293" s="29"/>
      <c r="B293" s="90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</row>
    <row r="294" spans="1:14" x14ac:dyDescent="0.25">
      <c r="A294" s="29"/>
      <c r="B294" s="90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4" x14ac:dyDescent="0.25">
      <c r="A295" s="29"/>
      <c r="B295" s="90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1:14" x14ac:dyDescent="0.25">
      <c r="A296" s="29"/>
      <c r="B296" s="90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1:14" x14ac:dyDescent="0.25">
      <c r="A297" s="29"/>
      <c r="B297" s="90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</row>
    <row r="298" spans="1:14" x14ac:dyDescent="0.25">
      <c r="A298" s="29"/>
      <c r="B298" s="90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1:14" x14ac:dyDescent="0.25">
      <c r="A299" s="29"/>
      <c r="B299" s="90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</row>
    <row r="300" spans="1:14" x14ac:dyDescent="0.25">
      <c r="A300" s="29"/>
      <c r="B300" s="90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</row>
    <row r="301" spans="1:14" x14ac:dyDescent="0.25">
      <c r="A301" s="29"/>
      <c r="B301" s="90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</row>
    <row r="302" spans="1:14" x14ac:dyDescent="0.25">
      <c r="A302" s="29"/>
      <c r="B302" s="90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</row>
    <row r="303" spans="1:14" x14ac:dyDescent="0.25">
      <c r="A303" s="29"/>
      <c r="B303" s="90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</row>
    <row r="304" spans="1:14" x14ac:dyDescent="0.25">
      <c r="A304" s="29"/>
      <c r="B304" s="90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</row>
    <row r="305" spans="1:14" x14ac:dyDescent="0.25">
      <c r="A305" s="29"/>
      <c r="B305" s="90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</row>
    <row r="306" spans="1:14" x14ac:dyDescent="0.25">
      <c r="A306" s="29"/>
      <c r="B306" s="90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1:14" x14ac:dyDescent="0.25">
      <c r="A307" s="29"/>
      <c r="B307" s="90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</row>
    <row r="308" spans="1:14" x14ac:dyDescent="0.25">
      <c r="A308" s="29"/>
      <c r="B308" s="90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</row>
    <row r="309" spans="1:14" x14ac:dyDescent="0.25">
      <c r="A309" s="29"/>
      <c r="B309" s="90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</row>
    <row r="310" spans="1:14" x14ac:dyDescent="0.25">
      <c r="A310" s="29"/>
      <c r="B310" s="90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</row>
    <row r="311" spans="1:14" x14ac:dyDescent="0.25">
      <c r="A311" s="29"/>
      <c r="B311" s="90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</row>
    <row r="312" spans="1:14" x14ac:dyDescent="0.25">
      <c r="A312" s="29"/>
      <c r="B312" s="90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1:14" x14ac:dyDescent="0.25">
      <c r="A313" s="29"/>
      <c r="B313" s="90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</row>
    <row r="314" spans="1:14" x14ac:dyDescent="0.25">
      <c r="A314" s="29"/>
      <c r="B314" s="90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</row>
    <row r="315" spans="1:14" x14ac:dyDescent="0.25">
      <c r="A315" s="29"/>
      <c r="B315" s="90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</row>
    <row r="316" spans="1:14" x14ac:dyDescent="0.25">
      <c r="A316" s="29"/>
      <c r="B316" s="90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</row>
    <row r="317" spans="1:14" x14ac:dyDescent="0.25">
      <c r="A317" s="29"/>
      <c r="B317" s="90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</row>
    <row r="318" spans="1:14" x14ac:dyDescent="0.25">
      <c r="A318" s="29"/>
      <c r="B318" s="90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</row>
    <row r="319" spans="1:14" x14ac:dyDescent="0.25">
      <c r="A319" s="29"/>
      <c r="B319" s="90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</row>
    <row r="320" spans="1:14" x14ac:dyDescent="0.25">
      <c r="A320" s="29"/>
      <c r="B320" s="90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</row>
    <row r="321" spans="1:14" x14ac:dyDescent="0.25">
      <c r="A321" s="29"/>
      <c r="B321" s="90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</row>
    <row r="322" spans="1:14" x14ac:dyDescent="0.25">
      <c r="A322" s="29"/>
      <c r="B322" s="90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</row>
    <row r="323" spans="1:14" x14ac:dyDescent="0.25">
      <c r="A323" s="29"/>
      <c r="B323" s="90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</row>
    <row r="324" spans="1:14" x14ac:dyDescent="0.25">
      <c r="A324" s="29"/>
      <c r="B324" s="90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</row>
    <row r="325" spans="1:14" x14ac:dyDescent="0.25">
      <c r="A325" s="29"/>
      <c r="B325" s="90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</row>
    <row r="326" spans="1:14" x14ac:dyDescent="0.25">
      <c r="A326" s="29"/>
      <c r="B326" s="90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</row>
    <row r="327" spans="1:14" x14ac:dyDescent="0.25">
      <c r="A327" s="29"/>
      <c r="B327" s="90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</row>
    <row r="328" spans="1:14" x14ac:dyDescent="0.25">
      <c r="A328" s="29"/>
      <c r="B328" s="90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</row>
    <row r="329" spans="1:14" x14ac:dyDescent="0.25">
      <c r="A329" s="29"/>
      <c r="B329" s="90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</row>
    <row r="330" spans="1:14" x14ac:dyDescent="0.25">
      <c r="A330" s="29"/>
      <c r="B330" s="90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</row>
    <row r="331" spans="1:14" x14ac:dyDescent="0.25">
      <c r="A331" s="29"/>
      <c r="B331" s="90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1:14" x14ac:dyDescent="0.25">
      <c r="A332" s="29"/>
      <c r="B332" s="90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x14ac:dyDescent="0.25">
      <c r="A333" s="29"/>
      <c r="B333" s="90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1:14" x14ac:dyDescent="0.25">
      <c r="A334" s="29"/>
      <c r="B334" s="90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x14ac:dyDescent="0.25">
      <c r="A335" s="29"/>
      <c r="B335" s="90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1:14" x14ac:dyDescent="0.25">
      <c r="A336" s="29"/>
      <c r="B336" s="90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x14ac:dyDescent="0.25">
      <c r="A337" s="29"/>
      <c r="B337" s="90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1:14" x14ac:dyDescent="0.25">
      <c r="A338" s="29"/>
      <c r="B338" s="90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x14ac:dyDescent="0.25">
      <c r="A339" s="29"/>
      <c r="B339" s="90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1:14" x14ac:dyDescent="0.25">
      <c r="A340" s="29"/>
      <c r="B340" s="90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1:14" x14ac:dyDescent="0.25">
      <c r="A341" s="29"/>
      <c r="B341" s="90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1:14" x14ac:dyDescent="0.25">
      <c r="A342" s="29"/>
      <c r="B342" s="90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x14ac:dyDescent="0.25">
      <c r="A343" s="29"/>
      <c r="B343" s="90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1:14" x14ac:dyDescent="0.25">
      <c r="A344" s="29"/>
      <c r="B344" s="90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x14ac:dyDescent="0.25">
      <c r="A345" s="29"/>
      <c r="B345" s="90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1:14" x14ac:dyDescent="0.25">
      <c r="A346" s="29"/>
      <c r="B346" s="90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  <row r="347" spans="1:14" x14ac:dyDescent="0.25">
      <c r="A347" s="29"/>
      <c r="B347" s="90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</row>
    <row r="348" spans="1:14" x14ac:dyDescent="0.25">
      <c r="A348" s="29"/>
      <c r="B348" s="90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</row>
    <row r="349" spans="1:14" x14ac:dyDescent="0.25">
      <c r="A349" s="29"/>
      <c r="B349" s="90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</row>
    <row r="350" spans="1:14" x14ac:dyDescent="0.25">
      <c r="A350" s="29"/>
      <c r="B350" s="90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</row>
    <row r="351" spans="1:14" x14ac:dyDescent="0.25">
      <c r="A351" s="29"/>
      <c r="B351" s="90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</row>
    <row r="352" spans="1:14" x14ac:dyDescent="0.25">
      <c r="A352" s="29"/>
      <c r="B352" s="90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</row>
    <row r="353" spans="1:14" x14ac:dyDescent="0.25">
      <c r="A353" s="29"/>
      <c r="B353" s="90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</row>
    <row r="354" spans="1:14" x14ac:dyDescent="0.25">
      <c r="A354" s="29"/>
      <c r="B354" s="90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</row>
    <row r="355" spans="1:14" x14ac:dyDescent="0.25">
      <c r="A355" s="29"/>
      <c r="B355" s="90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</row>
    <row r="356" spans="1:14" x14ac:dyDescent="0.25">
      <c r="A356" s="29"/>
      <c r="B356" s="90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</row>
    <row r="357" spans="1:14" x14ac:dyDescent="0.25">
      <c r="A357" s="29"/>
      <c r="B357" s="90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</row>
    <row r="358" spans="1:14" x14ac:dyDescent="0.25">
      <c r="A358" s="29"/>
      <c r="B358" s="90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</row>
    <row r="359" spans="1:14" x14ac:dyDescent="0.25">
      <c r="A359" s="29"/>
      <c r="B359" s="90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</row>
    <row r="360" spans="1:14" x14ac:dyDescent="0.25">
      <c r="A360" s="29"/>
      <c r="B360" s="90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</row>
    <row r="361" spans="1:14" x14ac:dyDescent="0.25">
      <c r="A361" s="29"/>
      <c r="B361" s="90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</row>
    <row r="362" spans="1:14" x14ac:dyDescent="0.25">
      <c r="A362" s="29"/>
      <c r="B362" s="90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</row>
    <row r="363" spans="1:14" x14ac:dyDescent="0.25">
      <c r="A363" s="29"/>
      <c r="B363" s="90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</row>
    <row r="364" spans="1:14" ht="15.75" customHeight="1" x14ac:dyDescent="0.25">
      <c r="A364" s="29"/>
      <c r="B364" s="90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</row>
    <row r="365" spans="1:14" x14ac:dyDescent="0.25">
      <c r="A365" s="29"/>
      <c r="B365" s="90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</row>
    <row r="366" spans="1:14" x14ac:dyDescent="0.25">
      <c r="A366" s="29"/>
      <c r="B366" s="90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</row>
    <row r="367" spans="1:14" x14ac:dyDescent="0.25">
      <c r="A367" s="29"/>
      <c r="B367" s="90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30"/>
      <c r="N367" s="29"/>
    </row>
    <row r="368" spans="1:14" x14ac:dyDescent="0.25">
      <c r="A368" s="29"/>
      <c r="B368" s="90"/>
      <c r="C368" s="29"/>
      <c r="D368" s="29"/>
      <c r="E368" s="98"/>
      <c r="F368" s="98"/>
      <c r="G368" s="98"/>
      <c r="H368" s="98"/>
      <c r="I368" s="98"/>
      <c r="J368" s="98"/>
      <c r="K368" s="98"/>
      <c r="L368" s="98"/>
      <c r="M368" s="30"/>
      <c r="N368" s="29"/>
    </row>
    <row r="369" spans="1:14" x14ac:dyDescent="0.25">
      <c r="A369" s="29"/>
      <c r="B369" s="90"/>
      <c r="C369" s="29"/>
      <c r="D369" s="29"/>
      <c r="E369" s="98"/>
      <c r="F369" s="98"/>
      <c r="G369" s="98"/>
      <c r="H369" s="98"/>
      <c r="I369" s="98"/>
      <c r="J369" s="98"/>
      <c r="K369" s="98"/>
      <c r="L369" s="98"/>
      <c r="M369" s="30"/>
      <c r="N369" s="29"/>
    </row>
    <row r="370" spans="1:14" x14ac:dyDescent="0.25">
      <c r="A370" s="29"/>
      <c r="B370" s="90"/>
      <c r="C370" s="29"/>
      <c r="D370" s="29"/>
      <c r="E370" s="98"/>
      <c r="F370" s="98"/>
      <c r="G370" s="98"/>
      <c r="H370" s="98"/>
      <c r="I370" s="98"/>
      <c r="J370" s="98"/>
      <c r="K370" s="98"/>
      <c r="L370" s="98"/>
      <c r="M370" s="30"/>
      <c r="N370" s="29"/>
    </row>
    <row r="371" spans="1:14" x14ac:dyDescent="0.25">
      <c r="A371" s="29"/>
      <c r="B371" s="90"/>
      <c r="C371" s="29"/>
      <c r="D371" s="29"/>
      <c r="E371" s="98"/>
      <c r="F371" s="98"/>
      <c r="G371" s="98"/>
      <c r="H371" s="98"/>
      <c r="I371" s="98"/>
      <c r="J371" s="98"/>
      <c r="K371" s="98"/>
      <c r="L371" s="98"/>
      <c r="M371" s="30"/>
      <c r="N371" s="29"/>
    </row>
    <row r="372" spans="1:14" x14ac:dyDescent="0.25">
      <c r="A372" s="29"/>
      <c r="B372" s="90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</row>
    <row r="373" spans="1:14" x14ac:dyDescent="0.25">
      <c r="A373" s="29"/>
      <c r="B373" s="90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</row>
    <row r="374" spans="1:14" x14ac:dyDescent="0.25">
      <c r="A374" s="29"/>
      <c r="B374" s="90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</row>
    <row r="375" spans="1:14" x14ac:dyDescent="0.25">
      <c r="A375" s="29"/>
      <c r="B375" s="90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</row>
    <row r="376" spans="1:14" x14ac:dyDescent="0.25">
      <c r="A376" s="29"/>
      <c r="B376" s="90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</row>
    <row r="377" spans="1:14" x14ac:dyDescent="0.25">
      <c r="A377" s="29"/>
      <c r="B377" s="90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</row>
    <row r="378" spans="1:14" x14ac:dyDescent="0.25">
      <c r="A378" s="29"/>
      <c r="B378" s="90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</row>
    <row r="379" spans="1:14" x14ac:dyDescent="0.25">
      <c r="A379" s="29"/>
      <c r="B379" s="90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</row>
    <row r="380" spans="1:14" x14ac:dyDescent="0.25">
      <c r="A380" s="29"/>
      <c r="B380" s="90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</row>
    <row r="381" spans="1:14" x14ac:dyDescent="0.25">
      <c r="A381" s="29"/>
      <c r="B381" s="90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</row>
    <row r="382" spans="1:14" x14ac:dyDescent="0.25">
      <c r="A382" s="29"/>
      <c r="B382" s="90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</row>
    <row r="383" spans="1:14" x14ac:dyDescent="0.25">
      <c r="A383" s="29"/>
      <c r="B383" s="90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</row>
    <row r="384" spans="1:14" x14ac:dyDescent="0.25">
      <c r="A384" s="29"/>
      <c r="B384" s="90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</row>
    <row r="385" spans="1:14" x14ac:dyDescent="0.25">
      <c r="A385" s="29"/>
      <c r="B385" s="90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</row>
    <row r="386" spans="1:14" x14ac:dyDescent="0.25">
      <c r="A386" s="29"/>
      <c r="B386" s="90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</row>
    <row r="387" spans="1:14" x14ac:dyDescent="0.25">
      <c r="A387" s="29"/>
      <c r="B387" s="90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30"/>
      <c r="N387" s="29"/>
    </row>
    <row r="388" spans="1:14" x14ac:dyDescent="0.25">
      <c r="A388" s="29"/>
      <c r="B388" s="90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</row>
    <row r="389" spans="1:14" x14ac:dyDescent="0.25">
      <c r="A389" s="29"/>
      <c r="B389" s="90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</row>
    <row r="390" spans="1:14" x14ac:dyDescent="0.25">
      <c r="A390" s="29"/>
      <c r="B390" s="90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</row>
    <row r="391" spans="1:14" x14ac:dyDescent="0.25">
      <c r="A391" s="29"/>
      <c r="B391" s="90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</row>
    <row r="392" spans="1:14" x14ac:dyDescent="0.25">
      <c r="A392" s="29"/>
      <c r="B392" s="90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</row>
    <row r="393" spans="1:14" x14ac:dyDescent="0.25">
      <c r="A393" s="29"/>
      <c r="B393" s="90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</row>
    <row r="394" spans="1:14" x14ac:dyDescent="0.25">
      <c r="A394" s="29"/>
      <c r="B394" s="90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</row>
    <row r="395" spans="1:14" x14ac:dyDescent="0.25">
      <c r="A395" s="29"/>
      <c r="B395" s="90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</row>
    <row r="396" spans="1:14" x14ac:dyDescent="0.25">
      <c r="A396" s="29"/>
      <c r="B396" s="91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</row>
    <row r="397" spans="1:14" x14ac:dyDescent="0.25">
      <c r="A397" s="29"/>
      <c r="B397" s="90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30"/>
      <c r="N397" s="29"/>
    </row>
    <row r="398" spans="1:14" x14ac:dyDescent="0.25">
      <c r="A398" s="29"/>
      <c r="B398" s="90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</row>
    <row r="399" spans="1:14" x14ac:dyDescent="0.25">
      <c r="A399" s="29"/>
      <c r="B399" s="90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</row>
    <row r="400" spans="1:14" x14ac:dyDescent="0.25">
      <c r="A400" s="29"/>
      <c r="B400" s="90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</row>
    <row r="401" spans="1:14" x14ac:dyDescent="0.25">
      <c r="A401" s="29"/>
      <c r="B401" s="90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</row>
    <row r="402" spans="1:14" x14ac:dyDescent="0.25">
      <c r="A402" s="29"/>
      <c r="B402" s="90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</row>
    <row r="403" spans="1:14" x14ac:dyDescent="0.25">
      <c r="A403" s="29"/>
      <c r="B403" s="90"/>
      <c r="C403" s="29"/>
      <c r="D403" s="29"/>
      <c r="E403" s="98"/>
      <c r="F403" s="98"/>
      <c r="G403" s="29"/>
      <c r="H403" s="29"/>
      <c r="I403" s="29"/>
      <c r="J403" s="29"/>
      <c r="K403" s="29"/>
      <c r="L403" s="29"/>
      <c r="M403" s="29"/>
      <c r="N403" s="29"/>
    </row>
    <row r="404" spans="1:14" x14ac:dyDescent="0.25">
      <c r="A404" s="31"/>
      <c r="B404" s="90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</row>
    <row r="405" spans="1:14" x14ac:dyDescent="0.25">
      <c r="A405" s="29"/>
      <c r="B405" s="90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</row>
    <row r="406" spans="1:14" x14ac:dyDescent="0.25">
      <c r="A406" s="29"/>
      <c r="B406" s="90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</row>
    <row r="407" spans="1:14" x14ac:dyDescent="0.25">
      <c r="A407" s="29"/>
      <c r="B407" s="91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</row>
    <row r="408" spans="1:14" x14ac:dyDescent="0.25">
      <c r="A408" s="29"/>
      <c r="B408" s="90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</row>
    <row r="409" spans="1:14" x14ac:dyDescent="0.25">
      <c r="A409" s="29"/>
      <c r="B409" s="90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</row>
    <row r="410" spans="1:14" x14ac:dyDescent="0.25">
      <c r="A410" s="29"/>
      <c r="B410" s="90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</row>
    <row r="411" spans="1:14" x14ac:dyDescent="0.25">
      <c r="A411" s="29"/>
      <c r="B411" s="90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</row>
    <row r="412" spans="1:14" x14ac:dyDescent="0.25">
      <c r="A412" s="29"/>
      <c r="B412" s="90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</row>
    <row r="413" spans="1:14" x14ac:dyDescent="0.25">
      <c r="A413" s="29"/>
      <c r="B413" s="90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</row>
    <row r="414" spans="1:14" x14ac:dyDescent="0.25">
      <c r="A414" s="29"/>
      <c r="B414" s="91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</row>
    <row r="415" spans="1:14" x14ac:dyDescent="0.25">
      <c r="A415" s="29"/>
      <c r="B415" s="90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</row>
    <row r="416" spans="1:14" x14ac:dyDescent="0.25">
      <c r="A416" s="29"/>
      <c r="B416" s="90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</row>
    <row r="417" spans="1:14" x14ac:dyDescent="0.25">
      <c r="A417" s="29"/>
      <c r="B417" s="90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</row>
    <row r="418" spans="1:14" x14ac:dyDescent="0.25">
      <c r="A418" s="29"/>
      <c r="B418" s="90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</row>
    <row r="419" spans="1:14" x14ac:dyDescent="0.25">
      <c r="A419" s="29"/>
      <c r="B419" s="90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</row>
    <row r="420" spans="1:14" x14ac:dyDescent="0.25">
      <c r="A420" s="29"/>
      <c r="B420" s="90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</row>
    <row r="421" spans="1:14" x14ac:dyDescent="0.25">
      <c r="A421" s="29"/>
      <c r="B421" s="90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</row>
    <row r="422" spans="1:14" x14ac:dyDescent="0.25">
      <c r="A422" s="29"/>
      <c r="B422" s="90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</row>
    <row r="423" spans="1:14" x14ac:dyDescent="0.25">
      <c r="A423" s="29"/>
      <c r="B423" s="90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</row>
    <row r="424" spans="1:14" x14ac:dyDescent="0.25">
      <c r="A424" s="29"/>
      <c r="B424" s="90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</row>
    <row r="425" spans="1:14" x14ac:dyDescent="0.25">
      <c r="A425" s="29"/>
      <c r="B425" s="91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</row>
    <row r="426" spans="1:14" x14ac:dyDescent="0.25">
      <c r="A426" s="29"/>
      <c r="B426" s="90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</row>
    <row r="427" spans="1:14" x14ac:dyDescent="0.25">
      <c r="A427" s="29"/>
      <c r="B427" s="90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</row>
    <row r="428" spans="1:14" x14ac:dyDescent="0.25">
      <c r="A428" s="29"/>
      <c r="B428" s="90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</row>
    <row r="429" spans="1:14" x14ac:dyDescent="0.25">
      <c r="A429" s="29"/>
      <c r="B429" s="90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</row>
    <row r="430" spans="1:14" x14ac:dyDescent="0.25">
      <c r="A430" s="29"/>
      <c r="B430" s="90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</row>
    <row r="431" spans="1:14" x14ac:dyDescent="0.25">
      <c r="A431" s="29"/>
      <c r="B431" s="90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</row>
    <row r="432" spans="1:14" x14ac:dyDescent="0.25">
      <c r="A432" s="29"/>
      <c r="B432" s="90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</row>
    <row r="433" spans="1:14" x14ac:dyDescent="0.25">
      <c r="A433" s="29"/>
      <c r="B433" s="90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</row>
    <row r="434" spans="1:14" x14ac:dyDescent="0.25">
      <c r="A434" s="29"/>
      <c r="B434" s="90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</row>
    <row r="435" spans="1:14" x14ac:dyDescent="0.25">
      <c r="A435" s="29"/>
      <c r="B435" s="90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</row>
    <row r="436" spans="1:14" x14ac:dyDescent="0.25">
      <c r="A436" s="29"/>
      <c r="B436" s="90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</row>
    <row r="437" spans="1:14" x14ac:dyDescent="0.25">
      <c r="A437" s="29"/>
      <c r="B437" s="90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</row>
    <row r="438" spans="1:14" x14ac:dyDescent="0.25">
      <c r="A438" s="29"/>
      <c r="B438" s="90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</row>
    <row r="439" spans="1:14" x14ac:dyDescent="0.25">
      <c r="A439" s="29"/>
      <c r="B439" s="90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</row>
    <row r="440" spans="1:14" x14ac:dyDescent="0.25">
      <c r="A440" s="29"/>
      <c r="B440" s="90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</row>
    <row r="441" spans="1:14" x14ac:dyDescent="0.25">
      <c r="A441" s="29"/>
      <c r="B441" s="90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</row>
    <row r="442" spans="1:14" x14ac:dyDescent="0.25">
      <c r="A442" s="29"/>
      <c r="B442" s="90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</row>
    <row r="443" spans="1:14" x14ac:dyDescent="0.25">
      <c r="A443" s="29"/>
      <c r="B443" s="90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</row>
    <row r="444" spans="1:14" x14ac:dyDescent="0.25">
      <c r="A444" s="29"/>
      <c r="B444" s="90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</row>
    <row r="445" spans="1:14" x14ac:dyDescent="0.25">
      <c r="A445" s="29"/>
      <c r="B445" s="90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</row>
    <row r="446" spans="1:14" x14ac:dyDescent="0.25">
      <c r="A446" s="29"/>
      <c r="B446" s="90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</row>
    <row r="447" spans="1:14" x14ac:dyDescent="0.25">
      <c r="A447" s="29"/>
      <c r="B447" s="90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</row>
    <row r="448" spans="1:14" x14ac:dyDescent="0.25">
      <c r="A448" s="29"/>
      <c r="B448" s="90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</row>
    <row r="449" spans="1:14" x14ac:dyDescent="0.25">
      <c r="A449" s="29"/>
      <c r="B449" s="90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</row>
    <row r="450" spans="1:14" x14ac:dyDescent="0.25">
      <c r="A450" s="29"/>
      <c r="B450" s="90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</row>
    <row r="451" spans="1:14" x14ac:dyDescent="0.25">
      <c r="A451" s="29"/>
      <c r="B451" s="90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</row>
    <row r="452" spans="1:14" x14ac:dyDescent="0.25">
      <c r="A452" s="29"/>
      <c r="B452" s="90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</row>
    <row r="453" spans="1:14" x14ac:dyDescent="0.25">
      <c r="A453" s="29"/>
      <c r="B453" s="90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</row>
    <row r="454" spans="1:14" x14ac:dyDescent="0.25">
      <c r="A454" s="29"/>
      <c r="B454" s="90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</row>
    <row r="455" spans="1:14" x14ac:dyDescent="0.25">
      <c r="A455" s="29"/>
      <c r="B455" s="90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</row>
    <row r="456" spans="1:14" x14ac:dyDescent="0.25">
      <c r="A456" s="29"/>
      <c r="B456" s="90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</row>
    <row r="457" spans="1:14" x14ac:dyDescent="0.25">
      <c r="A457" s="29"/>
      <c r="B457" s="90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</row>
    <row r="458" spans="1:14" x14ac:dyDescent="0.25">
      <c r="A458" s="29"/>
      <c r="B458" s="90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</row>
    <row r="459" spans="1:14" x14ac:dyDescent="0.25">
      <c r="A459" s="29"/>
      <c r="B459" s="90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</row>
    <row r="460" spans="1:14" x14ac:dyDescent="0.25">
      <c r="A460" s="29"/>
      <c r="B460" s="90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</row>
    <row r="461" spans="1:14" x14ac:dyDescent="0.25">
      <c r="A461" s="29"/>
      <c r="B461" s="90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</row>
    <row r="462" spans="1:14" x14ac:dyDescent="0.25">
      <c r="A462" s="29"/>
      <c r="B462" s="90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</row>
    <row r="463" spans="1:14" x14ac:dyDescent="0.25">
      <c r="A463" s="29"/>
      <c r="B463" s="90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</row>
    <row r="464" spans="1:14" x14ac:dyDescent="0.25">
      <c r="A464" s="29"/>
      <c r="B464" s="90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</row>
    <row r="465" spans="1:14" x14ac:dyDescent="0.25">
      <c r="A465" s="29"/>
      <c r="B465" s="90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</row>
    <row r="466" spans="1:14" x14ac:dyDescent="0.25">
      <c r="A466" s="29"/>
      <c r="B466" s="91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</row>
    <row r="467" spans="1:14" x14ac:dyDescent="0.25">
      <c r="A467" s="29"/>
      <c r="B467" s="90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</row>
    <row r="468" spans="1:14" x14ac:dyDescent="0.25">
      <c r="A468" s="29"/>
      <c r="B468" s="90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</row>
    <row r="469" spans="1:14" x14ac:dyDescent="0.25">
      <c r="A469" s="29"/>
      <c r="B469" s="90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</row>
    <row r="470" spans="1:14" x14ac:dyDescent="0.25">
      <c r="A470" s="29"/>
      <c r="B470" s="90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</row>
    <row r="471" spans="1:14" x14ac:dyDescent="0.25">
      <c r="A471" s="29"/>
      <c r="B471" s="90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</row>
    <row r="472" spans="1:14" x14ac:dyDescent="0.25">
      <c r="A472" s="29"/>
      <c r="B472" s="90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</row>
    <row r="473" spans="1:14" x14ac:dyDescent="0.25">
      <c r="A473" s="29"/>
      <c r="B473" s="90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</row>
    <row r="474" spans="1:14" x14ac:dyDescent="0.25">
      <c r="A474" s="30"/>
      <c r="B474" s="90"/>
      <c r="C474" s="30"/>
      <c r="D474" s="30"/>
      <c r="E474" s="29"/>
      <c r="F474" s="29"/>
      <c r="G474" s="30"/>
      <c r="H474" s="30"/>
      <c r="I474" s="30"/>
      <c r="J474" s="30"/>
      <c r="K474" s="30"/>
      <c r="L474" s="30"/>
      <c r="M474" s="30"/>
      <c r="N474" s="29"/>
    </row>
    <row r="475" spans="1:14" x14ac:dyDescent="0.25">
      <c r="A475" s="29"/>
      <c r="B475" s="90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</row>
    <row r="476" spans="1:14" x14ac:dyDescent="0.25">
      <c r="A476" s="29"/>
      <c r="B476" s="90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</row>
    <row r="477" spans="1:14" x14ac:dyDescent="0.25">
      <c r="A477" s="29"/>
      <c r="B477" s="90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</row>
    <row r="478" spans="1:14" x14ac:dyDescent="0.25">
      <c r="A478" s="29"/>
      <c r="B478" s="90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</row>
    <row r="479" spans="1:14" x14ac:dyDescent="0.25">
      <c r="A479" s="29"/>
      <c r="B479" s="90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30"/>
      <c r="N479" s="29"/>
    </row>
    <row r="480" spans="1:14" x14ac:dyDescent="0.25">
      <c r="A480" s="29"/>
      <c r="B480" s="90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</row>
    <row r="481" spans="1:14" x14ac:dyDescent="0.25">
      <c r="A481" s="29"/>
      <c r="B481" s="90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30"/>
      <c r="N481" s="29"/>
    </row>
    <row r="482" spans="1:14" x14ac:dyDescent="0.25">
      <c r="A482" s="29"/>
      <c r="B482" s="90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</row>
    <row r="483" spans="1:14" x14ac:dyDescent="0.25">
      <c r="A483" s="29"/>
      <c r="B483" s="90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</row>
    <row r="484" spans="1:14" x14ac:dyDescent="0.25">
      <c r="A484" s="29"/>
      <c r="B484" s="90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</row>
    <row r="485" spans="1:14" x14ac:dyDescent="0.25">
      <c r="A485" s="29"/>
      <c r="B485" s="90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</row>
    <row r="486" spans="1:14" x14ac:dyDescent="0.25">
      <c r="A486" s="29"/>
      <c r="B486" s="90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</row>
    <row r="487" spans="1:14" x14ac:dyDescent="0.25">
      <c r="A487" s="29"/>
      <c r="B487" s="90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</row>
    <row r="488" spans="1:14" x14ac:dyDescent="0.25">
      <c r="A488" s="29"/>
      <c r="B488" s="90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</row>
    <row r="489" spans="1:14" x14ac:dyDescent="0.25">
      <c r="A489" s="29"/>
      <c r="B489" s="90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</row>
    <row r="490" spans="1:14" x14ac:dyDescent="0.25">
      <c r="A490" s="29"/>
      <c r="B490" s="90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30"/>
      <c r="N490" s="29"/>
    </row>
    <row r="491" spans="1:14" x14ac:dyDescent="0.25">
      <c r="A491" s="29"/>
      <c r="B491" s="90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</row>
    <row r="492" spans="1:14" x14ac:dyDescent="0.25">
      <c r="A492" s="29"/>
      <c r="B492" s="90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</row>
    <row r="493" spans="1:14" x14ac:dyDescent="0.25">
      <c r="A493" s="29"/>
      <c r="B493" s="90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</row>
    <row r="494" spans="1:14" x14ac:dyDescent="0.25">
      <c r="A494" s="29"/>
      <c r="B494" s="90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</row>
    <row r="495" spans="1:14" x14ac:dyDescent="0.25">
      <c r="A495" s="29"/>
      <c r="B495" s="90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</row>
    <row r="496" spans="1:14" x14ac:dyDescent="0.25">
      <c r="A496" s="29"/>
      <c r="B496" s="90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</row>
    <row r="497" spans="1:14" x14ac:dyDescent="0.25">
      <c r="A497" s="29"/>
      <c r="B497" s="90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</row>
    <row r="498" spans="1:14" x14ac:dyDescent="0.25">
      <c r="A498" s="29"/>
      <c r="B498" s="90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</row>
    <row r="499" spans="1:14" x14ac:dyDescent="0.25">
      <c r="A499" s="29"/>
      <c r="B499" s="90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</row>
    <row r="500" spans="1:14" x14ac:dyDescent="0.25">
      <c r="A500" s="29"/>
      <c r="B500" s="90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</row>
    <row r="501" spans="1:14" x14ac:dyDescent="0.25">
      <c r="A501" s="29"/>
      <c r="B501" s="90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</row>
    <row r="502" spans="1:14" x14ac:dyDescent="0.25">
      <c r="A502" s="98"/>
      <c r="B502" s="99"/>
      <c r="C502" s="98"/>
      <c r="D502" s="98"/>
      <c r="E502" s="98"/>
      <c r="F502" s="98"/>
      <c r="G502" s="29"/>
      <c r="H502" s="29"/>
      <c r="I502" s="29"/>
      <c r="J502" s="29"/>
      <c r="K502" s="29"/>
      <c r="L502" s="29"/>
      <c r="M502" s="29"/>
      <c r="N502" s="29"/>
    </row>
    <row r="503" spans="1:14" x14ac:dyDescent="0.25">
      <c r="A503" s="29"/>
      <c r="B503" s="90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</row>
    <row r="504" spans="1:14" x14ac:dyDescent="0.25">
      <c r="A504" s="29"/>
      <c r="B504" s="90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</row>
    <row r="505" spans="1:14" x14ac:dyDescent="0.25">
      <c r="A505" s="29"/>
      <c r="B505" s="90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</row>
    <row r="506" spans="1:14" x14ac:dyDescent="0.25">
      <c r="A506" s="29"/>
      <c r="B506" s="90"/>
      <c r="C506" s="29"/>
      <c r="D506" s="29"/>
      <c r="E506" s="98"/>
      <c r="F506" s="98"/>
      <c r="G506" s="29"/>
      <c r="H506" s="29"/>
      <c r="I506" s="29"/>
      <c r="J506" s="29"/>
      <c r="K506" s="29"/>
      <c r="L506" s="29"/>
      <c r="M506" s="29"/>
      <c r="N506" s="29"/>
    </row>
    <row r="507" spans="1:14" x14ac:dyDescent="0.25">
      <c r="A507" s="29"/>
      <c r="B507" s="90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</row>
    <row r="508" spans="1:14" x14ac:dyDescent="0.25">
      <c r="A508" s="29"/>
      <c r="B508" s="90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</row>
    <row r="509" spans="1:14" x14ac:dyDescent="0.25">
      <c r="A509" s="29"/>
      <c r="B509" s="90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</row>
    <row r="510" spans="1:14" x14ac:dyDescent="0.25">
      <c r="A510" s="29"/>
      <c r="B510" s="90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30"/>
      <c r="N510" s="29"/>
    </row>
    <row r="511" spans="1:14" x14ac:dyDescent="0.25">
      <c r="A511" s="29"/>
      <c r="B511" s="90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</row>
    <row r="512" spans="1:14" x14ac:dyDescent="0.25">
      <c r="A512" s="29"/>
      <c r="B512" s="90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</row>
    <row r="513" spans="1:14" x14ac:dyDescent="0.25">
      <c r="A513" s="29"/>
      <c r="B513" s="90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</row>
    <row r="514" spans="1:14" x14ac:dyDescent="0.25">
      <c r="A514" s="29"/>
      <c r="B514" s="90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</row>
    <row r="515" spans="1:14" x14ac:dyDescent="0.25">
      <c r="A515" s="29"/>
      <c r="B515" s="90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</row>
    <row r="516" spans="1:14" x14ac:dyDescent="0.25">
      <c r="A516" s="29"/>
      <c r="B516" s="90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</row>
    <row r="517" spans="1:14" x14ac:dyDescent="0.25">
      <c r="A517" s="29"/>
      <c r="B517" s="90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</row>
    <row r="518" spans="1:14" x14ac:dyDescent="0.25">
      <c r="A518" s="29"/>
      <c r="B518" s="90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</row>
    <row r="519" spans="1:14" x14ac:dyDescent="0.25">
      <c r="A519" s="29"/>
      <c r="B519" s="90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</row>
    <row r="520" spans="1:14" x14ac:dyDescent="0.25">
      <c r="A520" s="29"/>
      <c r="B520" s="90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</row>
    <row r="521" spans="1:14" x14ac:dyDescent="0.25">
      <c r="A521" s="29"/>
      <c r="B521" s="90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</row>
    <row r="522" spans="1:14" x14ac:dyDescent="0.25">
      <c r="A522" s="29"/>
      <c r="B522" s="90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</row>
    <row r="523" spans="1:14" x14ac:dyDescent="0.25">
      <c r="A523" s="29"/>
      <c r="B523" s="90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</row>
    <row r="524" spans="1:14" x14ac:dyDescent="0.25">
      <c r="A524" s="29"/>
      <c r="B524" s="90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</row>
    <row r="525" spans="1:14" x14ac:dyDescent="0.25">
      <c r="A525" s="29"/>
      <c r="B525" s="90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</row>
    <row r="526" spans="1:14" x14ac:dyDescent="0.25">
      <c r="A526" s="29"/>
      <c r="B526" s="90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</row>
    <row r="527" spans="1:14" x14ac:dyDescent="0.25">
      <c r="A527" s="29"/>
      <c r="B527" s="90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</row>
    <row r="528" spans="1:14" x14ac:dyDescent="0.25">
      <c r="A528" s="29"/>
      <c r="B528" s="90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</row>
    <row r="529" spans="1:14" x14ac:dyDescent="0.25">
      <c r="A529" s="29"/>
      <c r="B529" s="90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</row>
    <row r="530" spans="1:14" x14ac:dyDescent="0.25">
      <c r="A530" s="29"/>
      <c r="B530" s="90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</row>
    <row r="531" spans="1:14" x14ac:dyDescent="0.25">
      <c r="A531" s="29"/>
      <c r="B531" s="90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</row>
    <row r="532" spans="1:14" x14ac:dyDescent="0.25">
      <c r="A532" s="29"/>
      <c r="B532" s="90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</row>
    <row r="533" spans="1:14" x14ac:dyDescent="0.25">
      <c r="A533" s="29"/>
      <c r="B533" s="90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</row>
    <row r="534" spans="1:14" x14ac:dyDescent="0.25">
      <c r="A534" s="29"/>
      <c r="B534" s="91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</row>
    <row r="535" spans="1:14" x14ac:dyDescent="0.25">
      <c r="A535" s="29"/>
      <c r="B535" s="90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</row>
    <row r="536" spans="1:14" x14ac:dyDescent="0.25">
      <c r="A536" s="29"/>
      <c r="B536" s="90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</row>
    <row r="537" spans="1:14" x14ac:dyDescent="0.25">
      <c r="A537" s="29"/>
      <c r="B537" s="90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</row>
    <row r="538" spans="1:14" x14ac:dyDescent="0.25">
      <c r="A538" s="29"/>
      <c r="B538" s="90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</row>
    <row r="539" spans="1:14" x14ac:dyDescent="0.25">
      <c r="A539" s="29"/>
      <c r="B539" s="90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</row>
    <row r="540" spans="1:14" x14ac:dyDescent="0.25">
      <c r="A540" s="29"/>
      <c r="B540" s="90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</row>
    <row r="541" spans="1:14" x14ac:dyDescent="0.25">
      <c r="A541" s="29"/>
      <c r="B541" s="90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</row>
    <row r="542" spans="1:14" x14ac:dyDescent="0.25">
      <c r="A542" s="29"/>
      <c r="B542" s="90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</row>
    <row r="543" spans="1:14" x14ac:dyDescent="0.25">
      <c r="A543" s="29"/>
      <c r="B543" s="90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</row>
    <row r="544" spans="1:14" x14ac:dyDescent="0.25">
      <c r="A544" s="29"/>
      <c r="B544" s="90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</row>
    <row r="545" spans="1:14" x14ac:dyDescent="0.25">
      <c r="A545" s="29"/>
      <c r="B545" s="91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</row>
    <row r="546" spans="1:14" x14ac:dyDescent="0.25">
      <c r="A546" s="29"/>
      <c r="B546" s="90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</row>
    <row r="547" spans="1:14" x14ac:dyDescent="0.25">
      <c r="A547" s="29"/>
      <c r="B547" s="90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</row>
    <row r="548" spans="1:14" x14ac:dyDescent="0.25">
      <c r="A548" s="29"/>
      <c r="B548" s="90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</row>
    <row r="549" spans="1:14" x14ac:dyDescent="0.25">
      <c r="A549" s="29"/>
      <c r="B549" s="90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</row>
    <row r="550" spans="1:14" x14ac:dyDescent="0.25">
      <c r="A550" s="29"/>
      <c r="B550" s="90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</row>
    <row r="551" spans="1:14" x14ac:dyDescent="0.25">
      <c r="A551" s="29"/>
      <c r="B551" s="90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</row>
    <row r="552" spans="1:14" x14ac:dyDescent="0.25">
      <c r="A552" s="29"/>
      <c r="B552" s="90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</row>
    <row r="553" spans="1:14" x14ac:dyDescent="0.25">
      <c r="A553" s="29"/>
      <c r="B553" s="90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</row>
    <row r="554" spans="1:14" x14ac:dyDescent="0.25">
      <c r="A554" s="29"/>
      <c r="B554" s="90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</row>
    <row r="555" spans="1:14" x14ac:dyDescent="0.25">
      <c r="A555" s="29"/>
      <c r="B555" s="90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</row>
    <row r="556" spans="1:14" x14ac:dyDescent="0.25">
      <c r="A556" s="29"/>
      <c r="B556" s="90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</row>
    <row r="557" spans="1:14" x14ac:dyDescent="0.25">
      <c r="A557" s="29"/>
      <c r="B557" s="90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</row>
    <row r="558" spans="1:14" x14ac:dyDescent="0.25">
      <c r="A558" s="29"/>
      <c r="B558" s="90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</row>
    <row r="559" spans="1:14" x14ac:dyDescent="0.25">
      <c r="A559" s="29"/>
      <c r="B559" s="90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</row>
    <row r="560" spans="1:14" x14ac:dyDescent="0.25">
      <c r="A560" s="29"/>
      <c r="B560" s="90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</row>
    <row r="561" spans="1:14" x14ac:dyDescent="0.25">
      <c r="A561" s="29"/>
      <c r="B561" s="90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</row>
    <row r="562" spans="1:14" x14ac:dyDescent="0.25">
      <c r="A562" s="29"/>
      <c r="B562" s="90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30"/>
      <c r="N562" s="29"/>
    </row>
    <row r="563" spans="1:14" x14ac:dyDescent="0.25">
      <c r="A563" s="29"/>
      <c r="B563" s="90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</row>
    <row r="564" spans="1:14" x14ac:dyDescent="0.25">
      <c r="A564" s="29"/>
      <c r="B564" s="90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</row>
    <row r="565" spans="1:14" x14ac:dyDescent="0.25">
      <c r="A565" s="29"/>
      <c r="B565" s="90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</row>
    <row r="566" spans="1:14" x14ac:dyDescent="0.25">
      <c r="A566" s="29"/>
      <c r="B566" s="90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</row>
    <row r="567" spans="1:14" x14ac:dyDescent="0.25">
      <c r="A567" s="29"/>
      <c r="B567" s="90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</row>
    <row r="568" spans="1:14" x14ac:dyDescent="0.25">
      <c r="A568" s="29"/>
      <c r="B568" s="90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</row>
    <row r="569" spans="1:14" x14ac:dyDescent="0.25">
      <c r="A569" s="29"/>
      <c r="B569" s="90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</row>
    <row r="570" spans="1:14" x14ac:dyDescent="0.25">
      <c r="A570" s="29"/>
      <c r="B570" s="90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</row>
    <row r="571" spans="1:14" x14ac:dyDescent="0.25">
      <c r="A571" s="29"/>
      <c r="B571" s="90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</row>
    <row r="572" spans="1:14" x14ac:dyDescent="0.25">
      <c r="A572" s="29"/>
      <c r="B572" s="90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</row>
    <row r="573" spans="1:14" x14ac:dyDescent="0.25">
      <c r="A573" s="29"/>
      <c r="B573" s="90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</row>
    <row r="574" spans="1:14" x14ac:dyDescent="0.25">
      <c r="A574" s="29"/>
      <c r="B574" s="90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</row>
    <row r="575" spans="1:14" x14ac:dyDescent="0.25">
      <c r="A575" s="29"/>
      <c r="B575" s="90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</row>
    <row r="576" spans="1:14" x14ac:dyDescent="0.25">
      <c r="A576" s="29"/>
      <c r="B576" s="90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</row>
    <row r="577" spans="1:14" x14ac:dyDescent="0.25">
      <c r="A577" s="29"/>
      <c r="B577" s="90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</row>
    <row r="578" spans="1:14" x14ac:dyDescent="0.25">
      <c r="A578" s="29"/>
      <c r="B578" s="90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</row>
    <row r="579" spans="1:14" x14ac:dyDescent="0.25">
      <c r="A579" s="29"/>
      <c r="B579" s="90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</row>
    <row r="580" spans="1:14" x14ac:dyDescent="0.25">
      <c r="A580" s="29"/>
      <c r="B580" s="90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</row>
    <row r="581" spans="1:14" x14ac:dyDescent="0.25">
      <c r="A581" s="29"/>
      <c r="B581" s="90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</row>
    <row r="582" spans="1:14" x14ac:dyDescent="0.25">
      <c r="A582" s="29"/>
      <c r="B582" s="90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</row>
    <row r="583" spans="1:14" x14ac:dyDescent="0.25">
      <c r="A583" s="29"/>
      <c r="B583" s="90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</row>
    <row r="584" spans="1:14" x14ac:dyDescent="0.25">
      <c r="A584" s="29"/>
      <c r="B584" s="90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</row>
    <row r="585" spans="1:14" x14ac:dyDescent="0.25">
      <c r="A585" s="29"/>
      <c r="B585" s="90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</row>
    <row r="586" spans="1:14" x14ac:dyDescent="0.25">
      <c r="A586" s="29"/>
      <c r="B586" s="90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</row>
    <row r="587" spans="1:14" x14ac:dyDescent="0.25">
      <c r="A587" s="29"/>
      <c r="B587" s="90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</row>
    <row r="588" spans="1:14" x14ac:dyDescent="0.25">
      <c r="A588" s="29"/>
      <c r="B588" s="90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</row>
    <row r="589" spans="1:14" x14ac:dyDescent="0.25">
      <c r="A589" s="29"/>
      <c r="B589" s="90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</row>
    <row r="590" spans="1:14" x14ac:dyDescent="0.25">
      <c r="A590" s="29"/>
      <c r="B590" s="90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</row>
    <row r="591" spans="1:14" x14ac:dyDescent="0.25">
      <c r="A591" s="29"/>
      <c r="B591" s="90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</row>
    <row r="592" spans="1:14" x14ac:dyDescent="0.25">
      <c r="A592" s="29"/>
      <c r="B592" s="90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</row>
    <row r="593" spans="1:14" x14ac:dyDescent="0.25">
      <c r="A593" s="29"/>
      <c r="B593" s="90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</row>
    <row r="594" spans="1:14" x14ac:dyDescent="0.25">
      <c r="A594" s="29"/>
      <c r="B594" s="90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</row>
    <row r="595" spans="1:14" x14ac:dyDescent="0.25">
      <c r="A595" s="29"/>
      <c r="B595" s="90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</row>
    <row r="596" spans="1:14" x14ac:dyDescent="0.25">
      <c r="A596" s="29"/>
      <c r="B596" s="90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</row>
    <row r="597" spans="1:14" x14ac:dyDescent="0.25">
      <c r="A597" s="29"/>
      <c r="B597" s="90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</row>
    <row r="598" spans="1:14" x14ac:dyDescent="0.25">
      <c r="A598" s="29"/>
      <c r="B598" s="90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</row>
    <row r="599" spans="1:14" x14ac:dyDescent="0.25">
      <c r="A599" s="29"/>
      <c r="B599" s="90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</row>
    <row r="600" spans="1:14" x14ac:dyDescent="0.25">
      <c r="A600" s="29"/>
      <c r="B600" s="90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</row>
    <row r="601" spans="1:14" x14ac:dyDescent="0.25">
      <c r="A601" s="29"/>
      <c r="B601" s="90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</row>
    <row r="602" spans="1:14" x14ac:dyDescent="0.25">
      <c r="A602" s="29"/>
      <c r="B602" s="90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</row>
    <row r="603" spans="1:14" x14ac:dyDescent="0.25">
      <c r="A603" s="29"/>
      <c r="B603" s="90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</row>
    <row r="604" spans="1:14" x14ac:dyDescent="0.25">
      <c r="A604" s="29"/>
      <c r="B604" s="90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</row>
    <row r="605" spans="1:14" x14ac:dyDescent="0.25">
      <c r="A605" s="29"/>
      <c r="B605" s="90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</row>
    <row r="606" spans="1:14" x14ac:dyDescent="0.25">
      <c r="A606" s="29"/>
      <c r="B606" s="90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</row>
    <row r="607" spans="1:14" x14ac:dyDescent="0.25">
      <c r="A607" s="29"/>
      <c r="B607" s="90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</row>
    <row r="608" spans="1:14" x14ac:dyDescent="0.25">
      <c r="A608" s="29"/>
      <c r="B608" s="90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</row>
    <row r="609" spans="1:14" x14ac:dyDescent="0.25">
      <c r="A609" s="95"/>
      <c r="B609" s="90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</row>
    <row r="610" spans="1:14" x14ac:dyDescent="0.25">
      <c r="A610" s="29"/>
      <c r="B610" s="90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</row>
    <row r="611" spans="1:14" x14ac:dyDescent="0.25">
      <c r="A611" s="29"/>
      <c r="B611" s="90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</row>
    <row r="612" spans="1:14" x14ac:dyDescent="0.25">
      <c r="A612" s="29"/>
      <c r="B612" s="90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</row>
    <row r="613" spans="1:14" x14ac:dyDescent="0.25">
      <c r="A613" s="29"/>
      <c r="B613" s="90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</row>
    <row r="614" spans="1:14" x14ac:dyDescent="0.25">
      <c r="A614" s="29"/>
      <c r="B614" s="90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</row>
    <row r="615" spans="1:14" x14ac:dyDescent="0.25">
      <c r="A615" s="29"/>
      <c r="B615" s="90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</row>
    <row r="616" spans="1:14" x14ac:dyDescent="0.25">
      <c r="A616" s="29"/>
      <c r="B616" s="90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</row>
    <row r="617" spans="1:14" x14ac:dyDescent="0.25">
      <c r="A617" s="29"/>
      <c r="B617" s="90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</row>
    <row r="618" spans="1:14" x14ac:dyDescent="0.25">
      <c r="A618" s="29"/>
      <c r="B618" s="90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</row>
    <row r="619" spans="1:14" x14ac:dyDescent="0.25">
      <c r="A619" s="29"/>
      <c r="B619" s="90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</row>
    <row r="620" spans="1:14" x14ac:dyDescent="0.25">
      <c r="A620" s="29"/>
      <c r="B620" s="90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</row>
    <row r="621" spans="1:14" x14ac:dyDescent="0.25">
      <c r="A621" s="29"/>
      <c r="B621" s="90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</row>
    <row r="622" spans="1:14" x14ac:dyDescent="0.25">
      <c r="A622" s="29"/>
      <c r="B622" s="90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</row>
    <row r="623" spans="1:14" x14ac:dyDescent="0.25">
      <c r="A623" s="29"/>
      <c r="B623" s="90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</row>
    <row r="624" spans="1:14" x14ac:dyDescent="0.25">
      <c r="A624" s="29"/>
      <c r="B624" s="90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</row>
    <row r="625" spans="1:14" x14ac:dyDescent="0.25">
      <c r="A625" s="29"/>
      <c r="B625" s="90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</row>
    <row r="626" spans="1:14" x14ac:dyDescent="0.25">
      <c r="A626" s="29"/>
      <c r="B626" s="90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</row>
    <row r="627" spans="1:14" x14ac:dyDescent="0.25">
      <c r="A627" s="29"/>
      <c r="B627" s="90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</row>
    <row r="628" spans="1:14" x14ac:dyDescent="0.25">
      <c r="A628" s="29"/>
      <c r="B628" s="90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</row>
    <row r="629" spans="1:14" x14ac:dyDescent="0.25">
      <c r="A629" s="29"/>
      <c r="B629" s="90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</row>
    <row r="630" spans="1:14" x14ac:dyDescent="0.25">
      <c r="A630" s="29"/>
      <c r="B630" s="90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</row>
    <row r="631" spans="1:14" x14ac:dyDescent="0.25">
      <c r="A631" s="29"/>
      <c r="B631" s="90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</row>
    <row r="632" spans="1:14" x14ac:dyDescent="0.25">
      <c r="A632" s="29"/>
      <c r="B632" s="90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</row>
    <row r="633" spans="1:14" x14ac:dyDescent="0.25">
      <c r="A633" s="29"/>
      <c r="B633" s="90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</row>
    <row r="634" spans="1:14" x14ac:dyDescent="0.25">
      <c r="A634" s="29"/>
      <c r="B634" s="90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</row>
    <row r="635" spans="1:14" x14ac:dyDescent="0.25">
      <c r="A635" s="29"/>
      <c r="B635" s="90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</row>
    <row r="636" spans="1:14" x14ac:dyDescent="0.25">
      <c r="A636" s="29"/>
      <c r="B636" s="90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</row>
    <row r="637" spans="1:14" x14ac:dyDescent="0.25">
      <c r="A637" s="29"/>
      <c r="B637" s="90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</row>
    <row r="638" spans="1:14" x14ac:dyDescent="0.25">
      <c r="A638" s="29"/>
      <c r="B638" s="90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</row>
    <row r="639" spans="1:14" x14ac:dyDescent="0.25">
      <c r="A639" s="29"/>
      <c r="B639" s="90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</row>
    <row r="640" spans="1:14" x14ac:dyDescent="0.25">
      <c r="A640" s="29"/>
      <c r="B640" s="90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</row>
    <row r="641" spans="1:14" x14ac:dyDescent="0.25">
      <c r="A641" s="29"/>
      <c r="B641" s="90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</row>
    <row r="642" spans="1:14" x14ac:dyDescent="0.25">
      <c r="A642" s="29"/>
      <c r="B642" s="90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</row>
    <row r="643" spans="1:14" x14ac:dyDescent="0.25">
      <c r="A643" s="29"/>
      <c r="B643" s="90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</row>
    <row r="644" spans="1:14" x14ac:dyDescent="0.25">
      <c r="A644" s="29"/>
      <c r="B644" s="90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</row>
    <row r="645" spans="1:14" x14ac:dyDescent="0.25">
      <c r="A645" s="29"/>
      <c r="B645" s="90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</row>
    <row r="646" spans="1:14" x14ac:dyDescent="0.25">
      <c r="A646" s="29"/>
      <c r="B646" s="90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</row>
    <row r="647" spans="1:14" x14ac:dyDescent="0.25">
      <c r="A647" s="29"/>
      <c r="B647" s="90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</row>
    <row r="648" spans="1:14" x14ac:dyDescent="0.25">
      <c r="A648" s="29"/>
      <c r="B648" s="90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</row>
    <row r="649" spans="1:14" x14ac:dyDescent="0.25">
      <c r="A649" s="29"/>
      <c r="B649" s="90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</row>
    <row r="650" spans="1:14" x14ac:dyDescent="0.25">
      <c r="A650" s="29"/>
      <c r="B650" s="90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</row>
    <row r="651" spans="1:14" x14ac:dyDescent="0.25">
      <c r="A651" s="29"/>
      <c r="B651" s="90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</row>
    <row r="652" spans="1:14" x14ac:dyDescent="0.25">
      <c r="A652" s="29"/>
      <c r="B652" s="90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</row>
    <row r="653" spans="1:14" x14ac:dyDescent="0.25">
      <c r="A653" s="29"/>
      <c r="B653" s="90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</row>
    <row r="654" spans="1:14" x14ac:dyDescent="0.25">
      <c r="A654" s="29"/>
      <c r="B654" s="90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</row>
    <row r="655" spans="1:14" x14ac:dyDescent="0.25">
      <c r="A655" s="29"/>
      <c r="B655" s="90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</row>
    <row r="656" spans="1:14" x14ac:dyDescent="0.25">
      <c r="A656" s="29"/>
      <c r="B656" s="90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</row>
    <row r="657" spans="1:14" x14ac:dyDescent="0.25">
      <c r="A657" s="29"/>
      <c r="B657" s="90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</row>
    <row r="658" spans="1:14" x14ac:dyDescent="0.25">
      <c r="A658" s="29"/>
      <c r="B658" s="90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</row>
    <row r="659" spans="1:14" x14ac:dyDescent="0.25">
      <c r="A659" s="29"/>
      <c r="B659" s="90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</row>
    <row r="660" spans="1:14" x14ac:dyDescent="0.25">
      <c r="A660" s="29"/>
      <c r="B660" s="90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</row>
    <row r="661" spans="1:14" x14ac:dyDescent="0.25">
      <c r="A661" s="29"/>
      <c r="B661" s="90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</row>
    <row r="662" spans="1:14" x14ac:dyDescent="0.25">
      <c r="A662" s="29"/>
      <c r="B662" s="90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</row>
    <row r="663" spans="1:14" x14ac:dyDescent="0.25">
      <c r="A663" s="29"/>
      <c r="B663" s="90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</row>
    <row r="664" spans="1:14" x14ac:dyDescent="0.25">
      <c r="A664" s="29"/>
      <c r="B664" s="90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</row>
    <row r="665" spans="1:14" x14ac:dyDescent="0.25">
      <c r="A665" s="29"/>
      <c r="B665" s="90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</row>
    <row r="666" spans="1:14" x14ac:dyDescent="0.25">
      <c r="A666" s="29"/>
      <c r="B666" s="90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</row>
    <row r="667" spans="1:14" x14ac:dyDescent="0.25">
      <c r="A667" s="29"/>
      <c r="B667" s="90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</row>
    <row r="668" spans="1:14" x14ac:dyDescent="0.25">
      <c r="A668" s="29"/>
      <c r="B668" s="90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</row>
    <row r="669" spans="1:14" x14ac:dyDescent="0.25">
      <c r="A669" s="29"/>
      <c r="B669" s="90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</row>
    <row r="670" spans="1:14" x14ac:dyDescent="0.25">
      <c r="A670" s="29"/>
      <c r="B670" s="90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</row>
    <row r="671" spans="1:14" x14ac:dyDescent="0.25">
      <c r="A671" s="29"/>
      <c r="B671" s="90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</row>
    <row r="672" spans="1:14" x14ac:dyDescent="0.25">
      <c r="A672" s="29"/>
      <c r="B672" s="90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</row>
    <row r="673" spans="1:14" x14ac:dyDescent="0.25">
      <c r="A673" s="29"/>
      <c r="B673" s="90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</row>
    <row r="674" spans="1:14" x14ac:dyDescent="0.25">
      <c r="A674" s="29"/>
      <c r="B674" s="90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</row>
    <row r="675" spans="1:14" x14ac:dyDescent="0.25">
      <c r="A675" s="29"/>
      <c r="B675" s="90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</row>
    <row r="676" spans="1:14" x14ac:dyDescent="0.25">
      <c r="A676" s="29"/>
      <c r="B676" s="90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</row>
    <row r="677" spans="1:14" x14ac:dyDescent="0.25">
      <c r="A677" s="29"/>
      <c r="B677" s="90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</row>
    <row r="678" spans="1:14" x14ac:dyDescent="0.25">
      <c r="A678" s="29"/>
      <c r="B678" s="90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</row>
    <row r="679" spans="1:14" x14ac:dyDescent="0.25">
      <c r="A679" s="29"/>
      <c r="B679" s="90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</row>
    <row r="680" spans="1:14" x14ac:dyDescent="0.25">
      <c r="A680" s="29"/>
      <c r="B680" s="90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</row>
    <row r="681" spans="1:14" x14ac:dyDescent="0.25">
      <c r="A681" s="29"/>
      <c r="B681" s="90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</row>
    <row r="682" spans="1:14" x14ac:dyDescent="0.25">
      <c r="A682" s="29"/>
      <c r="B682" s="90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</row>
    <row r="683" spans="1:14" x14ac:dyDescent="0.25">
      <c r="A683" s="29"/>
      <c r="B683" s="90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</row>
    <row r="684" spans="1:14" x14ac:dyDescent="0.25">
      <c r="A684" s="29"/>
      <c r="B684" s="90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</row>
    <row r="685" spans="1:14" x14ac:dyDescent="0.25">
      <c r="A685" s="29"/>
      <c r="B685" s="90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</row>
    <row r="686" spans="1:14" x14ac:dyDescent="0.25">
      <c r="A686" s="29"/>
      <c r="B686" s="90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</row>
    <row r="687" spans="1:14" x14ac:dyDescent="0.25">
      <c r="A687" s="29"/>
      <c r="B687" s="90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</row>
    <row r="688" spans="1:14" x14ac:dyDescent="0.25">
      <c r="A688" s="29"/>
      <c r="B688" s="90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</row>
    <row r="689" spans="1:14" x14ac:dyDescent="0.25">
      <c r="A689" s="29"/>
      <c r="B689" s="90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</row>
    <row r="690" spans="1:14" x14ac:dyDescent="0.25">
      <c r="A690" s="29"/>
      <c r="B690" s="90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</row>
    <row r="691" spans="1:14" x14ac:dyDescent="0.25">
      <c r="A691" s="29"/>
      <c r="B691" s="90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</row>
    <row r="692" spans="1:14" x14ac:dyDescent="0.25">
      <c r="A692" s="29"/>
      <c r="B692" s="90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</row>
    <row r="693" spans="1:14" x14ac:dyDescent="0.25">
      <c r="A693" s="29"/>
      <c r="B693" s="90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</row>
    <row r="694" spans="1:14" x14ac:dyDescent="0.25">
      <c r="A694" s="29"/>
      <c r="B694" s="90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</row>
    <row r="695" spans="1:14" x14ac:dyDescent="0.25">
      <c r="A695" s="29"/>
      <c r="B695" s="90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</row>
    <row r="696" spans="1:14" x14ac:dyDescent="0.25">
      <c r="A696" s="29"/>
      <c r="B696" s="90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</row>
    <row r="697" spans="1:14" x14ac:dyDescent="0.25">
      <c r="A697" s="29"/>
      <c r="B697" s="90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</row>
    <row r="698" spans="1:14" x14ac:dyDescent="0.25">
      <c r="A698" s="29"/>
      <c r="B698" s="90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</row>
    <row r="699" spans="1:14" x14ac:dyDescent="0.25">
      <c r="A699" s="29"/>
      <c r="B699" s="90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</row>
    <row r="700" spans="1:14" x14ac:dyDescent="0.25">
      <c r="A700" s="29"/>
      <c r="B700" s="90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</row>
    <row r="701" spans="1:14" x14ac:dyDescent="0.25">
      <c r="A701" s="29"/>
      <c r="B701" s="90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</row>
    <row r="702" spans="1:14" x14ac:dyDescent="0.25">
      <c r="A702" s="29"/>
      <c r="B702" s="90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</row>
    <row r="703" spans="1:14" x14ac:dyDescent="0.25">
      <c r="A703" s="29"/>
      <c r="B703" s="90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</row>
    <row r="704" spans="1:14" x14ac:dyDescent="0.25">
      <c r="A704" s="29"/>
      <c r="B704" s="90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</row>
    <row r="705" spans="1:14" x14ac:dyDescent="0.25">
      <c r="A705" s="29"/>
      <c r="B705" s="90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</row>
    <row r="706" spans="1:14" x14ac:dyDescent="0.25">
      <c r="A706" s="29"/>
      <c r="B706" s="90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</row>
    <row r="707" spans="1:14" x14ac:dyDescent="0.25">
      <c r="A707" s="29"/>
      <c r="B707" s="90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</row>
    <row r="708" spans="1:14" x14ac:dyDescent="0.25">
      <c r="A708" s="29"/>
      <c r="B708" s="90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</row>
    <row r="709" spans="1:14" x14ac:dyDescent="0.25">
      <c r="A709" s="29"/>
      <c r="B709" s="90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</row>
    <row r="710" spans="1:14" x14ac:dyDescent="0.25">
      <c r="A710" s="29"/>
      <c r="B710" s="90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</row>
    <row r="711" spans="1:14" x14ac:dyDescent="0.25">
      <c r="A711" s="29"/>
      <c r="B711" s="90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</row>
    <row r="712" spans="1:14" x14ac:dyDescent="0.25">
      <c r="A712" s="29"/>
      <c r="B712" s="90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</row>
    <row r="713" spans="1:14" x14ac:dyDescent="0.25">
      <c r="A713" s="29"/>
      <c r="B713" s="90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</row>
    <row r="714" spans="1:14" x14ac:dyDescent="0.25">
      <c r="A714" s="29"/>
      <c r="B714" s="90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</row>
    <row r="715" spans="1:14" x14ac:dyDescent="0.25">
      <c r="A715" s="29"/>
      <c r="B715" s="90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</row>
    <row r="716" spans="1:14" x14ac:dyDescent="0.25">
      <c r="A716" s="29"/>
      <c r="B716" s="90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</row>
    <row r="717" spans="1:14" x14ac:dyDescent="0.25">
      <c r="A717" s="29"/>
      <c r="B717" s="90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</row>
    <row r="718" spans="1:14" x14ac:dyDescent="0.25">
      <c r="A718" s="29"/>
      <c r="B718" s="90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</row>
    <row r="719" spans="1:14" x14ac:dyDescent="0.25">
      <c r="A719" s="29"/>
      <c r="B719" s="90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</row>
    <row r="720" spans="1:14" x14ac:dyDescent="0.25">
      <c r="A720" s="29"/>
      <c r="B720" s="90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</row>
    <row r="721" spans="1:14" x14ac:dyDescent="0.25">
      <c r="A721" s="29"/>
      <c r="B721" s="90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</row>
    <row r="722" spans="1:14" x14ac:dyDescent="0.25">
      <c r="A722" s="29"/>
      <c r="B722" s="90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</row>
    <row r="723" spans="1:14" x14ac:dyDescent="0.25">
      <c r="A723" s="29"/>
      <c r="B723" s="90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</row>
    <row r="724" spans="1:14" x14ac:dyDescent="0.25">
      <c r="A724" s="29"/>
      <c r="B724" s="90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</row>
    <row r="725" spans="1:14" x14ac:dyDescent="0.25">
      <c r="A725" s="29"/>
      <c r="B725" s="90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</row>
    <row r="726" spans="1:14" x14ac:dyDescent="0.25">
      <c r="A726" s="29"/>
      <c r="B726" s="90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</row>
    <row r="727" spans="1:14" x14ac:dyDescent="0.25">
      <c r="A727" s="29"/>
      <c r="B727" s="90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</row>
    <row r="728" spans="1:14" x14ac:dyDescent="0.25">
      <c r="A728" s="29"/>
      <c r="B728" s="90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</row>
    <row r="729" spans="1:14" x14ac:dyDescent="0.25">
      <c r="A729" s="29"/>
      <c r="B729" s="90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</row>
    <row r="730" spans="1:14" x14ac:dyDescent="0.25">
      <c r="A730" s="29"/>
      <c r="B730" s="90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</row>
    <row r="731" spans="1:14" x14ac:dyDescent="0.25">
      <c r="A731" s="29"/>
      <c r="B731" s="90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</row>
    <row r="732" spans="1:14" x14ac:dyDescent="0.25">
      <c r="A732" s="29"/>
      <c r="B732" s="90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</row>
    <row r="733" spans="1:14" x14ac:dyDescent="0.25">
      <c r="A733" s="29"/>
      <c r="B733" s="90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</row>
    <row r="734" spans="1:14" x14ac:dyDescent="0.25">
      <c r="A734" s="29"/>
      <c r="B734" s="90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</row>
    <row r="735" spans="1:14" x14ac:dyDescent="0.25">
      <c r="A735" s="29"/>
      <c r="B735" s="90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</row>
    <row r="736" spans="1:14" x14ac:dyDescent="0.25">
      <c r="A736" s="29"/>
      <c r="B736" s="90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</row>
    <row r="737" spans="1:14" x14ac:dyDescent="0.25">
      <c r="A737" s="29"/>
      <c r="B737" s="90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</row>
    <row r="738" spans="1:14" x14ac:dyDescent="0.25">
      <c r="A738" s="29"/>
      <c r="B738" s="90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</row>
    <row r="739" spans="1:14" x14ac:dyDescent="0.25">
      <c r="A739" s="29"/>
      <c r="B739" s="90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</row>
    <row r="740" spans="1:14" x14ac:dyDescent="0.25">
      <c r="A740" s="29"/>
      <c r="B740" s="90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</row>
    <row r="741" spans="1:14" x14ac:dyDescent="0.25">
      <c r="A741" s="29"/>
      <c r="B741" s="90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</row>
    <row r="742" spans="1:14" x14ac:dyDescent="0.25">
      <c r="A742" s="29"/>
      <c r="B742" s="90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</row>
    <row r="743" spans="1:14" x14ac:dyDescent="0.25">
      <c r="A743" s="29"/>
      <c r="B743" s="90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</row>
    <row r="744" spans="1:14" x14ac:dyDescent="0.25">
      <c r="A744" s="29"/>
      <c r="B744" s="90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</row>
    <row r="745" spans="1:14" x14ac:dyDescent="0.25">
      <c r="A745" s="29"/>
      <c r="B745" s="90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</row>
    <row r="746" spans="1:14" x14ac:dyDescent="0.25">
      <c r="A746" s="29"/>
      <c r="B746" s="90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</row>
    <row r="747" spans="1:14" x14ac:dyDescent="0.25">
      <c r="A747" s="29"/>
      <c r="B747" s="90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</row>
    <row r="748" spans="1:14" x14ac:dyDescent="0.25">
      <c r="A748" s="29"/>
      <c r="B748" s="90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</row>
    <row r="749" spans="1:14" x14ac:dyDescent="0.25">
      <c r="A749" s="29"/>
      <c r="B749" s="90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</row>
    <row r="750" spans="1:14" x14ac:dyDescent="0.25">
      <c r="A750" s="29"/>
      <c r="B750" s="90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</row>
    <row r="751" spans="1:14" x14ac:dyDescent="0.25">
      <c r="A751" s="29"/>
      <c r="B751" s="90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</row>
    <row r="752" spans="1:14" x14ac:dyDescent="0.25">
      <c r="A752" s="29"/>
      <c r="B752" s="90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</row>
    <row r="753" spans="1:14" x14ac:dyDescent="0.25">
      <c r="A753" s="29"/>
      <c r="B753" s="90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</row>
    <row r="754" spans="1:14" x14ac:dyDescent="0.25">
      <c r="A754" s="29"/>
      <c r="B754" s="90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</row>
    <row r="755" spans="1:14" x14ac:dyDescent="0.25">
      <c r="A755" s="29"/>
      <c r="B755" s="90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</row>
    <row r="756" spans="1:14" x14ac:dyDescent="0.25">
      <c r="A756" s="29"/>
      <c r="B756" s="90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</row>
    <row r="757" spans="1:14" x14ac:dyDescent="0.25">
      <c r="A757" s="29"/>
      <c r="B757" s="90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</row>
    <row r="758" spans="1:14" x14ac:dyDescent="0.25">
      <c r="A758" s="29"/>
      <c r="B758" s="90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</row>
    <row r="759" spans="1:14" x14ac:dyDescent="0.25">
      <c r="A759" s="29"/>
      <c r="B759" s="90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</row>
    <row r="760" spans="1:14" x14ac:dyDescent="0.25">
      <c r="A760" s="29"/>
      <c r="B760" s="90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</row>
    <row r="761" spans="1:14" x14ac:dyDescent="0.25">
      <c r="A761" s="29"/>
      <c r="B761" s="90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</row>
    <row r="762" spans="1:14" x14ac:dyDescent="0.25">
      <c r="A762" s="29"/>
      <c r="B762" s="90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</row>
    <row r="763" spans="1:14" x14ac:dyDescent="0.25">
      <c r="A763" s="29"/>
      <c r="B763" s="90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</row>
    <row r="764" spans="1:14" x14ac:dyDescent="0.25">
      <c r="A764" s="29"/>
      <c r="B764" s="90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</row>
    <row r="765" spans="1:14" x14ac:dyDescent="0.25">
      <c r="A765" s="29"/>
      <c r="B765" s="90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</row>
    <row r="766" spans="1:14" x14ac:dyDescent="0.25">
      <c r="A766" s="29"/>
      <c r="B766" s="90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</row>
    <row r="767" spans="1:14" x14ac:dyDescent="0.25">
      <c r="A767" s="29"/>
      <c r="B767" s="90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</row>
    <row r="768" spans="1:14" x14ac:dyDescent="0.25">
      <c r="A768" s="29"/>
      <c r="B768" s="90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</row>
    <row r="769" spans="1:14" x14ac:dyDescent="0.25">
      <c r="A769" s="29"/>
      <c r="B769" s="90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</row>
    <row r="770" spans="1:14" x14ac:dyDescent="0.25">
      <c r="A770" s="29"/>
      <c r="B770" s="90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</row>
    <row r="771" spans="1:14" x14ac:dyDescent="0.25">
      <c r="A771" s="29"/>
      <c r="B771" s="90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</row>
    <row r="772" spans="1:14" x14ac:dyDescent="0.25">
      <c r="A772" s="29"/>
      <c r="B772" s="90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</row>
    <row r="773" spans="1:14" x14ac:dyDescent="0.25">
      <c r="A773" s="29"/>
      <c r="B773" s="90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</row>
    <row r="774" spans="1:14" x14ac:dyDescent="0.25">
      <c r="A774" s="29"/>
      <c r="B774" s="90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</row>
    <row r="775" spans="1:14" x14ac:dyDescent="0.25">
      <c r="A775" s="29"/>
      <c r="B775" s="90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</row>
    <row r="776" spans="1:14" x14ac:dyDescent="0.25">
      <c r="A776" s="29"/>
      <c r="B776" s="90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</row>
    <row r="777" spans="1:14" x14ac:dyDescent="0.25">
      <c r="A777" s="29"/>
      <c r="B777" s="90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</row>
    <row r="778" spans="1:14" x14ac:dyDescent="0.25">
      <c r="A778" s="29"/>
      <c r="B778" s="90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</row>
    <row r="779" spans="1:14" x14ac:dyDescent="0.25">
      <c r="A779" s="29"/>
      <c r="B779" s="90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</row>
    <row r="780" spans="1:14" x14ac:dyDescent="0.25">
      <c r="A780" s="29"/>
      <c r="B780" s="90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</row>
    <row r="781" spans="1:14" x14ac:dyDescent="0.25">
      <c r="A781" s="29"/>
      <c r="B781" s="90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</row>
    <row r="782" spans="1:14" x14ac:dyDescent="0.25">
      <c r="A782" s="29"/>
      <c r="B782" s="90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</row>
    <row r="783" spans="1:14" x14ac:dyDescent="0.25">
      <c r="A783" s="29"/>
      <c r="B783" s="90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</row>
    <row r="784" spans="1:14" x14ac:dyDescent="0.25">
      <c r="A784" s="29"/>
      <c r="B784" s="90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</row>
    <row r="785" spans="1:14" x14ac:dyDescent="0.25">
      <c r="A785" s="29"/>
      <c r="B785" s="90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</row>
    <row r="786" spans="1:14" x14ac:dyDescent="0.25">
      <c r="A786" s="29"/>
      <c r="B786" s="90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</row>
    <row r="787" spans="1:14" x14ac:dyDescent="0.25">
      <c r="A787" s="29"/>
      <c r="B787" s="90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</row>
    <row r="788" spans="1:14" x14ac:dyDescent="0.25">
      <c r="A788" s="29"/>
      <c r="B788" s="90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</row>
    <row r="789" spans="1:14" x14ac:dyDescent="0.25">
      <c r="A789" s="29"/>
      <c r="B789" s="90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</row>
    <row r="790" spans="1:14" x14ac:dyDescent="0.25">
      <c r="A790" s="29"/>
      <c r="B790" s="90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</row>
    <row r="791" spans="1:14" x14ac:dyDescent="0.25">
      <c r="A791" s="29"/>
      <c r="B791" s="90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</row>
    <row r="792" spans="1:14" x14ac:dyDescent="0.25">
      <c r="A792" s="29"/>
      <c r="B792" s="90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</row>
    <row r="793" spans="1:14" x14ac:dyDescent="0.25">
      <c r="A793" s="29"/>
      <c r="B793" s="90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</row>
    <row r="794" spans="1:14" x14ac:dyDescent="0.25">
      <c r="A794" s="29"/>
      <c r="B794" s="90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</row>
    <row r="795" spans="1:14" x14ac:dyDescent="0.25">
      <c r="A795" s="29"/>
      <c r="B795" s="90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</row>
    <row r="796" spans="1:14" x14ac:dyDescent="0.25">
      <c r="A796" s="29"/>
      <c r="B796" s="90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</row>
    <row r="797" spans="1:14" x14ac:dyDescent="0.25">
      <c r="A797" s="29"/>
      <c r="B797" s="90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</row>
    <row r="798" spans="1:14" x14ac:dyDescent="0.25">
      <c r="A798" s="29"/>
      <c r="B798" s="90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</row>
    <row r="799" spans="1:14" x14ac:dyDescent="0.25">
      <c r="A799" s="29"/>
      <c r="B799" s="90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</row>
    <row r="800" spans="1:14" x14ac:dyDescent="0.25">
      <c r="A800" s="29"/>
      <c r="B800" s="90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</row>
    <row r="801" spans="1:14" x14ac:dyDescent="0.25">
      <c r="A801" s="29"/>
      <c r="B801" s="90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</row>
    <row r="802" spans="1:14" x14ac:dyDescent="0.25">
      <c r="A802" s="29"/>
      <c r="B802" s="90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</row>
    <row r="803" spans="1:14" x14ac:dyDescent="0.25">
      <c r="A803" s="29"/>
      <c r="B803" s="90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</row>
    <row r="804" spans="1:14" x14ac:dyDescent="0.25">
      <c r="A804" s="29"/>
      <c r="B804" s="90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</row>
    <row r="805" spans="1:14" x14ac:dyDescent="0.25">
      <c r="A805" s="29"/>
      <c r="B805" s="90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</row>
    <row r="806" spans="1:14" x14ac:dyDescent="0.25">
      <c r="A806" s="29"/>
      <c r="B806" s="90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</row>
    <row r="807" spans="1:14" x14ac:dyDescent="0.25">
      <c r="A807" s="29"/>
      <c r="B807" s="90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</row>
    <row r="808" spans="1:14" x14ac:dyDescent="0.25">
      <c r="A808" s="29"/>
      <c r="B808" s="90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</row>
    <row r="809" spans="1:14" x14ac:dyDescent="0.25">
      <c r="A809" s="29"/>
      <c r="B809" s="90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</row>
    <row r="810" spans="1:14" x14ac:dyDescent="0.25">
      <c r="A810" s="29"/>
      <c r="B810" s="90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</row>
    <row r="811" spans="1:14" x14ac:dyDescent="0.25">
      <c r="A811" s="29"/>
      <c r="B811" s="90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</row>
    <row r="812" spans="1:14" x14ac:dyDescent="0.25">
      <c r="A812" s="29"/>
      <c r="B812" s="90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</row>
    <row r="813" spans="1:14" x14ac:dyDescent="0.25">
      <c r="A813" s="29"/>
      <c r="B813" s="90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</row>
    <row r="814" spans="1:14" x14ac:dyDescent="0.25">
      <c r="A814" s="29"/>
      <c r="B814" s="90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</row>
    <row r="815" spans="1:14" x14ac:dyDescent="0.25">
      <c r="A815" s="29"/>
      <c r="B815" s="90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</row>
    <row r="816" spans="1:14" x14ac:dyDescent="0.25">
      <c r="A816" s="29"/>
      <c r="B816" s="90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</row>
    <row r="817" spans="1:14" x14ac:dyDescent="0.25">
      <c r="A817" s="29"/>
      <c r="B817" s="90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</row>
    <row r="818" spans="1:14" x14ac:dyDescent="0.25">
      <c r="A818" s="29"/>
      <c r="B818" s="90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</row>
    <row r="819" spans="1:14" x14ac:dyDescent="0.25">
      <c r="A819" s="29"/>
      <c r="B819" s="90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</row>
    <row r="820" spans="1:14" x14ac:dyDescent="0.25">
      <c r="A820" s="29"/>
      <c r="B820" s="90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</row>
    <row r="821" spans="1:14" x14ac:dyDescent="0.25">
      <c r="A821" s="29"/>
      <c r="B821" s="90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</row>
    <row r="822" spans="1:14" x14ac:dyDescent="0.25">
      <c r="A822" s="29"/>
      <c r="B822" s="90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</row>
    <row r="823" spans="1:14" x14ac:dyDescent="0.25">
      <c r="A823" s="29"/>
      <c r="B823" s="90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</row>
    <row r="824" spans="1:14" x14ac:dyDescent="0.25">
      <c r="A824" s="29"/>
      <c r="B824" s="90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</row>
    <row r="825" spans="1:14" x14ac:dyDescent="0.25">
      <c r="A825" s="29"/>
      <c r="B825" s="90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</row>
    <row r="826" spans="1:14" x14ac:dyDescent="0.25">
      <c r="A826" s="29"/>
      <c r="B826" s="90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</row>
    <row r="827" spans="1:14" x14ac:dyDescent="0.25">
      <c r="A827" s="29"/>
      <c r="B827" s="90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</row>
    <row r="828" spans="1:14" x14ac:dyDescent="0.25">
      <c r="A828" s="29"/>
      <c r="B828" s="90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</row>
    <row r="829" spans="1:14" x14ac:dyDescent="0.25">
      <c r="A829" s="29"/>
      <c r="B829" s="90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</row>
    <row r="830" spans="1:14" x14ac:dyDescent="0.25">
      <c r="A830" s="29"/>
      <c r="B830" s="90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</row>
    <row r="831" spans="1:14" x14ac:dyDescent="0.25">
      <c r="A831" s="29"/>
      <c r="B831" s="90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</row>
    <row r="832" spans="1:14" x14ac:dyDescent="0.25">
      <c r="A832" s="29"/>
      <c r="B832" s="90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</row>
    <row r="833" spans="1:14" x14ac:dyDescent="0.25">
      <c r="A833" s="29"/>
      <c r="B833" s="90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</row>
    <row r="834" spans="1:14" x14ac:dyDescent="0.25">
      <c r="A834" s="29"/>
      <c r="B834" s="90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</row>
    <row r="835" spans="1:14" x14ac:dyDescent="0.25">
      <c r="A835" s="29"/>
      <c r="B835" s="90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</row>
    <row r="836" spans="1:14" x14ac:dyDescent="0.25">
      <c r="A836" s="29"/>
      <c r="B836" s="90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</row>
    <row r="837" spans="1:14" x14ac:dyDescent="0.25">
      <c r="A837" s="29"/>
      <c r="B837" s="90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</row>
    <row r="838" spans="1:14" x14ac:dyDescent="0.25">
      <c r="A838" s="29"/>
      <c r="B838" s="90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</row>
    <row r="839" spans="1:14" x14ac:dyDescent="0.25">
      <c r="A839" s="29"/>
      <c r="B839" s="90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</row>
    <row r="840" spans="1:14" x14ac:dyDescent="0.25">
      <c r="A840" s="29"/>
      <c r="B840" s="90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</row>
    <row r="841" spans="1:14" x14ac:dyDescent="0.25">
      <c r="A841" s="29"/>
      <c r="B841" s="90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</row>
    <row r="842" spans="1:14" x14ac:dyDescent="0.25">
      <c r="A842" s="29"/>
      <c r="B842" s="90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</row>
    <row r="843" spans="1:14" x14ac:dyDescent="0.25">
      <c r="A843" s="29"/>
      <c r="B843" s="90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</row>
    <row r="844" spans="1:14" x14ac:dyDescent="0.25">
      <c r="A844" s="29"/>
      <c r="B844" s="90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</row>
    <row r="845" spans="1:14" x14ac:dyDescent="0.25">
      <c r="A845" s="29"/>
      <c r="B845" s="90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</row>
    <row r="846" spans="1:14" x14ac:dyDescent="0.25">
      <c r="A846" s="29"/>
      <c r="B846" s="90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</row>
    <row r="847" spans="1:14" x14ac:dyDescent="0.25">
      <c r="A847" s="29"/>
      <c r="B847" s="90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</row>
    <row r="848" spans="1:14" x14ac:dyDescent="0.25">
      <c r="A848" s="29"/>
      <c r="B848" s="90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</row>
    <row r="849" spans="1:14" x14ac:dyDescent="0.25">
      <c r="A849" s="29"/>
      <c r="B849" s="90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</row>
    <row r="850" spans="1:14" x14ac:dyDescent="0.25">
      <c r="A850" s="29"/>
      <c r="B850" s="90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</row>
    <row r="851" spans="1:14" x14ac:dyDescent="0.25">
      <c r="A851" s="29"/>
      <c r="B851" s="90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</row>
    <row r="852" spans="1:14" x14ac:dyDescent="0.25">
      <c r="A852" s="29"/>
      <c r="B852" s="90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</row>
    <row r="853" spans="1:14" x14ac:dyDescent="0.25">
      <c r="A853" s="29"/>
      <c r="B853" s="90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</row>
    <row r="854" spans="1:14" x14ac:dyDescent="0.25">
      <c r="A854" s="29"/>
      <c r="B854" s="90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</row>
    <row r="855" spans="1:14" x14ac:dyDescent="0.25">
      <c r="A855" s="29"/>
      <c r="B855" s="90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</row>
    <row r="856" spans="1:14" x14ac:dyDescent="0.25">
      <c r="A856" s="29"/>
      <c r="B856" s="90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</row>
    <row r="857" spans="1:14" x14ac:dyDescent="0.25">
      <c r="A857" s="29"/>
      <c r="B857" s="90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</row>
    <row r="858" spans="1:14" x14ac:dyDescent="0.25">
      <c r="A858" s="29"/>
      <c r="B858" s="90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</row>
    <row r="859" spans="1:14" x14ac:dyDescent="0.25">
      <c r="A859" s="29"/>
      <c r="B859" s="90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</row>
    <row r="860" spans="1:14" x14ac:dyDescent="0.25">
      <c r="A860" s="29"/>
      <c r="B860" s="90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</row>
    <row r="861" spans="1:14" x14ac:dyDescent="0.25">
      <c r="A861" s="29"/>
      <c r="B861" s="90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</row>
    <row r="862" spans="1:14" x14ac:dyDescent="0.25">
      <c r="A862" s="29"/>
      <c r="B862" s="90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</row>
    <row r="863" spans="1:14" x14ac:dyDescent="0.25">
      <c r="A863" s="29"/>
      <c r="B863" s="90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</row>
    <row r="864" spans="1:14" x14ac:dyDescent="0.25">
      <c r="A864" s="29"/>
      <c r="B864" s="90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</row>
    <row r="865" spans="1:14" x14ac:dyDescent="0.25">
      <c r="A865" s="29"/>
      <c r="B865" s="90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</row>
    <row r="866" spans="1:14" x14ac:dyDescent="0.25">
      <c r="A866" s="29"/>
      <c r="B866" s="90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</row>
    <row r="867" spans="1:14" x14ac:dyDescent="0.25">
      <c r="A867" s="29"/>
      <c r="B867" s="90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</row>
    <row r="868" spans="1:14" x14ac:dyDescent="0.25">
      <c r="A868" s="29"/>
      <c r="B868" s="90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</row>
    <row r="869" spans="1:14" x14ac:dyDescent="0.25">
      <c r="A869" s="29"/>
      <c r="B869" s="90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</row>
    <row r="870" spans="1:14" x14ac:dyDescent="0.25">
      <c r="A870" s="29"/>
      <c r="B870" s="90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</row>
    <row r="871" spans="1:14" x14ac:dyDescent="0.25">
      <c r="A871" s="29"/>
      <c r="B871" s="90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</row>
    <row r="872" spans="1:14" x14ac:dyDescent="0.25">
      <c r="A872" s="29"/>
      <c r="B872" s="90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</row>
    <row r="873" spans="1:14" x14ac:dyDescent="0.25">
      <c r="A873" s="29"/>
      <c r="B873" s="90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</row>
    <row r="874" spans="1:14" x14ac:dyDescent="0.25">
      <c r="A874" s="29"/>
      <c r="B874" s="90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</row>
    <row r="875" spans="1:14" x14ac:dyDescent="0.25">
      <c r="A875" s="29"/>
      <c r="B875" s="90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</row>
    <row r="876" spans="1:14" x14ac:dyDescent="0.25">
      <c r="A876" s="29"/>
      <c r="B876" s="90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</row>
    <row r="877" spans="1:14" x14ac:dyDescent="0.25">
      <c r="A877" s="29"/>
      <c r="B877" s="90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</row>
    <row r="878" spans="1:14" x14ac:dyDescent="0.25">
      <c r="A878" s="29"/>
      <c r="B878" s="90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</row>
    <row r="879" spans="1:14" x14ac:dyDescent="0.25">
      <c r="A879" s="29"/>
      <c r="B879" s="90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</row>
    <row r="880" spans="1:14" x14ac:dyDescent="0.25">
      <c r="A880" s="29"/>
      <c r="B880" s="90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</row>
    <row r="881" spans="1:14" x14ac:dyDescent="0.25">
      <c r="A881" s="29"/>
      <c r="B881" s="90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</row>
    <row r="882" spans="1:14" x14ac:dyDescent="0.25">
      <c r="A882" s="29"/>
      <c r="B882" s="90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</row>
    <row r="883" spans="1:14" x14ac:dyDescent="0.25">
      <c r="A883" s="29"/>
      <c r="B883" s="90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</row>
    <row r="884" spans="1:14" x14ac:dyDescent="0.25">
      <c r="A884" s="29"/>
      <c r="B884" s="90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</row>
    <row r="885" spans="1:14" x14ac:dyDescent="0.25">
      <c r="A885" s="29"/>
      <c r="B885" s="90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</row>
    <row r="886" spans="1:14" x14ac:dyDescent="0.25">
      <c r="A886" s="29"/>
      <c r="B886" s="90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</row>
    <row r="887" spans="1:14" x14ac:dyDescent="0.25">
      <c r="A887" s="29"/>
      <c r="B887" s="90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</row>
    <row r="888" spans="1:14" x14ac:dyDescent="0.25">
      <c r="A888" s="29"/>
      <c r="B888" s="90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</row>
    <row r="889" spans="1:14" x14ac:dyDescent="0.25">
      <c r="A889" s="29"/>
      <c r="B889" s="90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</row>
    <row r="890" spans="1:14" x14ac:dyDescent="0.25">
      <c r="A890" s="29"/>
      <c r="B890" s="90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</row>
    <row r="891" spans="1:14" x14ac:dyDescent="0.25">
      <c r="A891" s="29"/>
      <c r="B891" s="90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</row>
    <row r="892" spans="1:14" x14ac:dyDescent="0.25">
      <c r="A892" s="29"/>
      <c r="B892" s="90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</row>
    <row r="893" spans="1:14" x14ac:dyDescent="0.25">
      <c r="A893" s="29"/>
      <c r="B893" s="90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</row>
    <row r="894" spans="1:14" x14ac:dyDescent="0.25">
      <c r="A894" s="29"/>
      <c r="B894" s="90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</row>
    <row r="895" spans="1:14" x14ac:dyDescent="0.25">
      <c r="A895" s="29"/>
      <c r="B895" s="90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</row>
    <row r="896" spans="1:14" x14ac:dyDescent="0.25">
      <c r="A896" s="29"/>
      <c r="B896" s="90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</row>
    <row r="897" spans="1:14" x14ac:dyDescent="0.25">
      <c r="A897" s="29"/>
      <c r="B897" s="90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</row>
    <row r="898" spans="1:14" x14ac:dyDescent="0.25">
      <c r="A898" s="29"/>
      <c r="B898" s="90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</row>
    <row r="899" spans="1:14" x14ac:dyDescent="0.25">
      <c r="A899" s="29"/>
      <c r="B899" s="90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</row>
    <row r="900" spans="1:14" x14ac:dyDescent="0.25">
      <c r="A900" s="29"/>
      <c r="B900" s="90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</row>
    <row r="901" spans="1:14" x14ac:dyDescent="0.25">
      <c r="A901" s="29"/>
      <c r="B901" s="90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</row>
    <row r="902" spans="1:14" x14ac:dyDescent="0.25">
      <c r="A902" s="29"/>
      <c r="B902" s="90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</row>
    <row r="903" spans="1:14" x14ac:dyDescent="0.25">
      <c r="A903" s="29"/>
      <c r="B903" s="90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</row>
    <row r="904" spans="1:14" x14ac:dyDescent="0.25">
      <c r="A904" s="29"/>
      <c r="B904" s="90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</row>
    <row r="905" spans="1:14" x14ac:dyDescent="0.25">
      <c r="A905" s="29"/>
      <c r="B905" s="90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</row>
    <row r="906" spans="1:14" x14ac:dyDescent="0.25">
      <c r="A906" s="29"/>
      <c r="B906" s="90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</row>
    <row r="907" spans="1:14" x14ac:dyDescent="0.25">
      <c r="A907" s="29"/>
      <c r="B907" s="90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</row>
    <row r="908" spans="1:14" x14ac:dyDescent="0.25">
      <c r="A908" s="29"/>
      <c r="B908" s="90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</row>
    <row r="909" spans="1:14" x14ac:dyDescent="0.25">
      <c r="A909" s="29"/>
      <c r="B909" s="90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</row>
    <row r="910" spans="1:14" x14ac:dyDescent="0.25">
      <c r="A910" s="29"/>
      <c r="B910" s="90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</row>
    <row r="911" spans="1:14" x14ac:dyDescent="0.25">
      <c r="A911" s="29"/>
      <c r="B911" s="90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</row>
    <row r="912" spans="1:14" x14ac:dyDescent="0.25">
      <c r="A912" s="29"/>
      <c r="B912" s="90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</row>
    <row r="913" spans="1:14" x14ac:dyDescent="0.25">
      <c r="A913" s="29"/>
      <c r="B913" s="90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</row>
    <row r="914" spans="1:14" x14ac:dyDescent="0.25">
      <c r="A914" s="29"/>
      <c r="B914" s="90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</row>
    <row r="915" spans="1:14" x14ac:dyDescent="0.25">
      <c r="A915" s="29"/>
      <c r="B915" s="90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</row>
    <row r="916" spans="1:14" x14ac:dyDescent="0.25">
      <c r="A916" s="29"/>
      <c r="B916" s="90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</row>
    <row r="917" spans="1:14" x14ac:dyDescent="0.25">
      <c r="A917" s="29"/>
      <c r="B917" s="90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</row>
    <row r="918" spans="1:14" x14ac:dyDescent="0.25">
      <c r="A918" s="29"/>
      <c r="B918" s="90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</row>
    <row r="919" spans="1:14" x14ac:dyDescent="0.25">
      <c r="A919" s="29"/>
      <c r="B919" s="90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</row>
    <row r="920" spans="1:14" x14ac:dyDescent="0.25">
      <c r="A920" s="29"/>
      <c r="B920" s="90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</row>
    <row r="921" spans="1:14" x14ac:dyDescent="0.25">
      <c r="A921" s="29"/>
      <c r="B921" s="90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</row>
    <row r="922" spans="1:14" x14ac:dyDescent="0.25">
      <c r="A922" s="29"/>
      <c r="B922" s="90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</row>
    <row r="923" spans="1:14" x14ac:dyDescent="0.25">
      <c r="A923" s="29"/>
      <c r="B923" s="90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</row>
    <row r="924" spans="1:14" x14ac:dyDescent="0.25">
      <c r="A924" s="29"/>
      <c r="B924" s="90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</row>
    <row r="925" spans="1:14" x14ac:dyDescent="0.25">
      <c r="A925" s="29"/>
      <c r="B925" s="90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</row>
    <row r="926" spans="1:14" x14ac:dyDescent="0.25">
      <c r="A926" s="29"/>
      <c r="B926" s="90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</row>
    <row r="927" spans="1:14" x14ac:dyDescent="0.25">
      <c r="A927" s="29"/>
      <c r="B927" s="90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</row>
    <row r="928" spans="1:14" x14ac:dyDescent="0.25">
      <c r="A928" s="29"/>
      <c r="B928" s="90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</row>
    <row r="929" spans="1:14" x14ac:dyDescent="0.25">
      <c r="A929" s="29"/>
      <c r="B929" s="90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</row>
    <row r="930" spans="1:14" x14ac:dyDescent="0.25">
      <c r="A930" s="29"/>
      <c r="B930" s="90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</row>
    <row r="931" spans="1:14" x14ac:dyDescent="0.25">
      <c r="A931" s="29"/>
      <c r="B931" s="90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</row>
    <row r="932" spans="1:14" x14ac:dyDescent="0.25">
      <c r="A932" s="29"/>
      <c r="B932" s="90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</row>
    <row r="933" spans="1:14" x14ac:dyDescent="0.25">
      <c r="A933" s="29"/>
      <c r="B933" s="90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</row>
    <row r="934" spans="1:14" x14ac:dyDescent="0.25">
      <c r="A934" s="29"/>
      <c r="B934" s="90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</row>
    <row r="935" spans="1:14" x14ac:dyDescent="0.25">
      <c r="A935" s="29"/>
      <c r="B935" s="90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</row>
    <row r="936" spans="1:14" x14ac:dyDescent="0.25">
      <c r="A936" s="29"/>
      <c r="B936" s="90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</row>
    <row r="937" spans="1:14" x14ac:dyDescent="0.25">
      <c r="A937" s="29"/>
      <c r="B937" s="90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</row>
    <row r="938" spans="1:14" x14ac:dyDescent="0.25">
      <c r="A938" s="29"/>
      <c r="B938" s="90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</row>
    <row r="939" spans="1:14" x14ac:dyDescent="0.25">
      <c r="A939" s="29"/>
      <c r="B939" s="90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</row>
    <row r="940" spans="1:14" x14ac:dyDescent="0.25">
      <c r="A940" s="29"/>
      <c r="B940" s="90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</row>
    <row r="941" spans="1:14" x14ac:dyDescent="0.25">
      <c r="A941" s="29"/>
      <c r="B941" s="90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</row>
    <row r="942" spans="1:14" x14ac:dyDescent="0.25">
      <c r="A942" s="29"/>
      <c r="B942" s="90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</row>
    <row r="943" spans="1:14" x14ac:dyDescent="0.25">
      <c r="A943" s="29"/>
      <c r="B943" s="90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</row>
    <row r="944" spans="1:14" x14ac:dyDescent="0.25">
      <c r="A944" s="29"/>
      <c r="B944" s="90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</row>
    <row r="945" spans="1:14" x14ac:dyDescent="0.25">
      <c r="A945" s="29"/>
      <c r="B945" s="90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</row>
    <row r="946" spans="1:14" x14ac:dyDescent="0.25">
      <c r="A946" s="29"/>
      <c r="B946" s="90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</row>
    <row r="947" spans="1:14" x14ac:dyDescent="0.25">
      <c r="A947" s="29"/>
      <c r="B947" s="90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</row>
    <row r="948" spans="1:14" x14ac:dyDescent="0.25">
      <c r="A948" s="29"/>
      <c r="B948" s="90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</row>
    <row r="949" spans="1:14" x14ac:dyDescent="0.25">
      <c r="A949" s="29"/>
      <c r="B949" s="90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</row>
    <row r="950" spans="1:14" x14ac:dyDescent="0.25">
      <c r="A950" s="29"/>
      <c r="B950" s="90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</row>
    <row r="951" spans="1:14" x14ac:dyDescent="0.25">
      <c r="A951" s="29"/>
      <c r="B951" s="90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</row>
    <row r="952" spans="1:14" x14ac:dyDescent="0.25">
      <c r="A952" s="29"/>
      <c r="B952" s="90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</row>
    <row r="953" spans="1:14" x14ac:dyDescent="0.25">
      <c r="A953" s="29"/>
      <c r="B953" s="90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</row>
    <row r="954" spans="1:14" x14ac:dyDescent="0.25">
      <c r="A954" s="29"/>
      <c r="B954" s="90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</row>
    <row r="955" spans="1:14" x14ac:dyDescent="0.25">
      <c r="A955" s="29"/>
      <c r="B955" s="90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</row>
    <row r="956" spans="1:14" x14ac:dyDescent="0.25">
      <c r="A956" s="29"/>
      <c r="B956" s="90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</row>
    <row r="957" spans="1:14" x14ac:dyDescent="0.25">
      <c r="A957" s="29"/>
      <c r="B957" s="90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</row>
    <row r="958" spans="1:14" x14ac:dyDescent="0.25">
      <c r="A958" s="29"/>
      <c r="B958" s="90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</row>
    <row r="959" spans="1:14" x14ac:dyDescent="0.25">
      <c r="A959" s="29"/>
      <c r="B959" s="90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</row>
    <row r="960" spans="1:14" x14ac:dyDescent="0.25">
      <c r="A960" s="29"/>
      <c r="B960" s="90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</row>
    <row r="961" spans="1:14" x14ac:dyDescent="0.25">
      <c r="A961" s="29"/>
      <c r="B961" s="90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</row>
    <row r="962" spans="1:14" x14ac:dyDescent="0.25">
      <c r="A962" s="29"/>
      <c r="B962" s="90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</row>
    <row r="963" spans="1:14" x14ac:dyDescent="0.25">
      <c r="A963" s="29"/>
      <c r="B963" s="90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</row>
    <row r="964" spans="1:14" x14ac:dyDescent="0.25">
      <c r="A964" s="29"/>
      <c r="B964" s="90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</row>
    <row r="965" spans="1:14" x14ac:dyDescent="0.25">
      <c r="A965" s="29"/>
      <c r="B965" s="90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</row>
    <row r="966" spans="1:14" x14ac:dyDescent="0.25">
      <c r="A966" s="29"/>
      <c r="B966" s="90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</row>
    <row r="967" spans="1:14" x14ac:dyDescent="0.25">
      <c r="A967" s="29"/>
      <c r="B967" s="90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</row>
    <row r="968" spans="1:14" x14ac:dyDescent="0.25">
      <c r="A968" s="29"/>
      <c r="B968" s="90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</row>
    <row r="969" spans="1:14" x14ac:dyDescent="0.25">
      <c r="A969" s="29"/>
      <c r="B969" s="90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</row>
    <row r="970" spans="1:14" x14ac:dyDescent="0.25">
      <c r="A970" s="29"/>
      <c r="B970" s="90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</row>
    <row r="971" spans="1:14" x14ac:dyDescent="0.25">
      <c r="A971" s="29"/>
      <c r="B971" s="90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</row>
    <row r="972" spans="1:14" x14ac:dyDescent="0.25">
      <c r="A972" s="29"/>
      <c r="B972" s="90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</row>
    <row r="973" spans="1:14" x14ac:dyDescent="0.25">
      <c r="A973" s="29"/>
      <c r="B973" s="90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</row>
    <row r="974" spans="1:14" x14ac:dyDescent="0.25">
      <c r="A974" s="29"/>
      <c r="B974" s="90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</row>
    <row r="975" spans="1:14" x14ac:dyDescent="0.25">
      <c r="A975" s="29"/>
      <c r="B975" s="90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</row>
    <row r="976" spans="1:14" x14ac:dyDescent="0.25">
      <c r="A976" s="29"/>
      <c r="B976" s="90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</row>
    <row r="977" spans="1:14" x14ac:dyDescent="0.25">
      <c r="A977" s="29"/>
      <c r="B977" s="90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</row>
    <row r="978" spans="1:14" x14ac:dyDescent="0.25">
      <c r="A978" s="29"/>
      <c r="B978" s="90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</row>
    <row r="979" spans="1:14" x14ac:dyDescent="0.25">
      <c r="A979" s="29"/>
      <c r="B979" s="90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</row>
    <row r="980" spans="1:14" x14ac:dyDescent="0.25">
      <c r="A980" s="29"/>
      <c r="B980" s="90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</row>
    <row r="981" spans="1:14" x14ac:dyDescent="0.25">
      <c r="A981" s="29"/>
      <c r="B981" s="90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</row>
    <row r="982" spans="1:14" x14ac:dyDescent="0.25">
      <c r="A982" s="29"/>
      <c r="B982" s="90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</row>
    <row r="983" spans="1:14" x14ac:dyDescent="0.25">
      <c r="A983" s="29"/>
      <c r="B983" s="90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</row>
    <row r="984" spans="1:14" x14ac:dyDescent="0.25">
      <c r="A984" s="29"/>
      <c r="B984" s="90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</row>
    <row r="985" spans="1:14" x14ac:dyDescent="0.25">
      <c r="A985" s="29"/>
      <c r="B985" s="90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</row>
    <row r="986" spans="1:14" x14ac:dyDescent="0.25">
      <c r="A986" s="29"/>
      <c r="B986" s="90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</row>
    <row r="987" spans="1:14" x14ac:dyDescent="0.25">
      <c r="A987" s="29"/>
      <c r="B987" s="90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</row>
    <row r="988" spans="1:14" x14ac:dyDescent="0.25">
      <c r="A988" s="29"/>
      <c r="B988" s="90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</row>
    <row r="989" spans="1:14" x14ac:dyDescent="0.25">
      <c r="A989" s="29"/>
      <c r="B989" s="90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</row>
    <row r="990" spans="1:14" x14ac:dyDescent="0.25">
      <c r="A990" s="29"/>
      <c r="B990" s="90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</row>
    <row r="991" spans="1:14" x14ac:dyDescent="0.25">
      <c r="A991" s="29"/>
      <c r="B991" s="90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</row>
    <row r="992" spans="1:14" x14ac:dyDescent="0.25">
      <c r="A992" s="29"/>
      <c r="B992" s="90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</row>
    <row r="993" spans="1:14" x14ac:dyDescent="0.25">
      <c r="A993" s="29"/>
      <c r="B993" s="90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</row>
    <row r="994" spans="1:14" x14ac:dyDescent="0.25">
      <c r="A994" s="29"/>
      <c r="B994" s="90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</row>
    <row r="995" spans="1:14" x14ac:dyDescent="0.25">
      <c r="A995" s="29"/>
      <c r="B995" s="90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</row>
    <row r="996" spans="1:14" x14ac:dyDescent="0.25">
      <c r="A996" s="29"/>
      <c r="B996" s="90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</row>
    <row r="997" spans="1:14" x14ac:dyDescent="0.25">
      <c r="A997" s="29"/>
      <c r="B997" s="90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</row>
    <row r="998" spans="1:14" x14ac:dyDescent="0.25">
      <c r="A998" s="29"/>
      <c r="B998" s="90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</row>
    <row r="999" spans="1:14" x14ac:dyDescent="0.25">
      <c r="A999" s="29"/>
      <c r="B999" s="90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</row>
    <row r="1000" spans="1:14" x14ac:dyDescent="0.25">
      <c r="A1000" s="29"/>
      <c r="B1000" s="90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</row>
    <row r="1001" spans="1:14" x14ac:dyDescent="0.25">
      <c r="A1001" s="29"/>
      <c r="B1001" s="90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</row>
    <row r="1002" spans="1:14" x14ac:dyDescent="0.25">
      <c r="A1002" s="29"/>
      <c r="B1002" s="90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</row>
    <row r="1003" spans="1:14" x14ac:dyDescent="0.25">
      <c r="A1003" s="29"/>
      <c r="B1003" s="90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</row>
    <row r="1004" spans="1:14" x14ac:dyDescent="0.25">
      <c r="A1004" s="29"/>
      <c r="B1004" s="90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</row>
    <row r="1005" spans="1:14" x14ac:dyDescent="0.25">
      <c r="A1005" s="8"/>
      <c r="B1005" s="98"/>
      <c r="C1005" s="98" t="e">
        <f>SUBTOTAL(101,C9:C1004)</f>
        <v>#DIV/0!</v>
      </c>
      <c r="D1005" s="98"/>
      <c r="E1005" s="98"/>
      <c r="F1005" s="98"/>
      <c r="G1005" s="98"/>
      <c r="H1005" s="98"/>
      <c r="I1005" s="98"/>
      <c r="J1005" s="98"/>
      <c r="K1005" s="98"/>
      <c r="L1005" s="98"/>
      <c r="M1005" s="98"/>
      <c r="N1005" s="98"/>
    </row>
    <row r="1006" spans="1:14" x14ac:dyDescent="0.25">
      <c r="A1006" t="s">
        <v>292</v>
      </c>
    </row>
  </sheetData>
  <sheetProtection selectLockedCells="1" sort="0" autoFilter="0" pivotTables="0"/>
  <dataConsolidate/>
  <mergeCells count="4">
    <mergeCell ref="A1:N1"/>
    <mergeCell ref="A2:N2"/>
    <mergeCell ref="A3:N3"/>
    <mergeCell ref="A5:N5"/>
  </mergeCells>
  <dataValidations xWindow="596" yWindow="759" count="9">
    <dataValidation type="list" allowBlank="1" showInputMessage="1" showErrorMessage="1" sqref="G9:G1004">
      <formula1>ESTUDIOS</formula1>
    </dataValidation>
    <dataValidation type="list" allowBlank="1" showInputMessage="1" showErrorMessage="1" sqref="H469:H492 H495:H510 H467 H512:H514 H516:H1004 H454:H465 H9:H452">
      <formula1>REGION</formula1>
    </dataValidation>
    <dataValidation type="list" allowBlank="1" showInputMessage="1" showErrorMessage="1" sqref="H466 H468 H493:H494 H453 H511 H515">
      <formula1>tomo</formula1>
    </dataValidation>
    <dataValidation type="list" allowBlank="1" showInputMessage="1" showErrorMessage="1" sqref="L9:M1004">
      <formula1>PROCEDENCIA</formula1>
    </dataValidation>
    <dataValidation type="list" allowBlank="1" showInputMessage="1" showErrorMessage="1" sqref="I9:I1004">
      <formula1>CONTRASTADO</formula1>
    </dataValidation>
    <dataValidation type="list" allowBlank="1" showInputMessage="1" showErrorMessage="1" sqref="J9:J1004">
      <formula1>MEDICO</formula1>
    </dataValidation>
    <dataValidation type="list" allowBlank="1" showInputMessage="1" showErrorMessage="1" sqref="K9:K1004">
      <formula1>TECNICO</formula1>
    </dataValidation>
    <dataValidation type="list" allowBlank="1" showInputMessage="1" showErrorMessage="1" promptTitle="Seleccionar servicio" prompt="Seleccionar el servicio " sqref="E9:F1004">
      <formula1>SERVICIOSISO</formula1>
    </dataValidation>
    <dataValidation type="list" allowBlank="1" showInputMessage="1" showErrorMessage="1" sqref="D9:D1004">
      <formula1>Sexo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70" zoomScaleNormal="70" workbookViewId="0">
      <pane ySplit="8" topLeftCell="A30" activePane="bottomLeft" state="frozen"/>
      <selection pane="bottomLeft" activeCell="A43" sqref="A43"/>
    </sheetView>
  </sheetViews>
  <sheetFormatPr baseColWidth="10" defaultColWidth="11.42578125" defaultRowHeight="15" x14ac:dyDescent="0.25"/>
  <cols>
    <col min="1" max="1" width="17" customWidth="1"/>
    <col min="2" max="3" width="19.28515625" customWidth="1"/>
    <col min="4" max="4" width="21.28515625" customWidth="1"/>
    <col min="5" max="5" width="17.7109375" customWidth="1"/>
    <col min="6" max="6" width="18.5703125" customWidth="1"/>
    <col min="7" max="7" width="20.5703125" customWidth="1"/>
    <col min="8" max="8" width="20.7109375" customWidth="1"/>
    <col min="9" max="9" width="15.5703125" customWidth="1"/>
    <col min="10" max="10" width="24.42578125" customWidth="1"/>
    <col min="11" max="11" width="26.85546875" customWidth="1"/>
  </cols>
  <sheetData>
    <row r="1" spans="1:15" s="107" customFormat="1" ht="31.5" x14ac:dyDescent="0.5">
      <c r="A1" s="140" t="s">
        <v>285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33"/>
      <c r="M1" s="133"/>
      <c r="N1" s="133"/>
      <c r="O1" s="132"/>
    </row>
    <row r="2" spans="1:15" s="107" customFormat="1" ht="23.25" customHeight="1" x14ac:dyDescent="0.4">
      <c r="A2" s="143" t="s">
        <v>288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32"/>
      <c r="M2" s="132"/>
      <c r="N2" s="132"/>
      <c r="O2" s="132"/>
    </row>
    <row r="3" spans="1:15" ht="21.75" customHeight="1" x14ac:dyDescent="0.4">
      <c r="A3" s="143" t="s">
        <v>287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32"/>
      <c r="M3" s="132"/>
      <c r="N3" s="132"/>
      <c r="O3" s="132"/>
    </row>
    <row r="4" spans="1:15" ht="11.25" customHeight="1" x14ac:dyDescent="0.2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21" x14ac:dyDescent="0.35">
      <c r="A5" s="144" t="s">
        <v>289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32"/>
      <c r="M5" s="132"/>
      <c r="N5" s="132"/>
      <c r="O5" s="132"/>
    </row>
    <row r="6" spans="1:15" s="107" customFormat="1" ht="13.5" customHeight="1" x14ac:dyDescent="0.3">
      <c r="A6" s="138"/>
      <c r="B6" s="139" t="str">
        <f>'CAPTURA DE DATOS'!A6</f>
        <v>Fecha de mes a reportar</v>
      </c>
      <c r="C6" s="138"/>
      <c r="D6" s="138"/>
      <c r="E6" s="138"/>
      <c r="F6" s="138"/>
      <c r="G6" s="138"/>
      <c r="H6" s="138"/>
      <c r="I6" s="138"/>
      <c r="J6" s="138"/>
      <c r="K6" s="138"/>
      <c r="L6" s="132"/>
      <c r="M6" s="132"/>
      <c r="N6" s="132"/>
      <c r="O6" s="132"/>
    </row>
    <row r="7" spans="1:15" x14ac:dyDescent="0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1:15" s="18" customFormat="1" x14ac:dyDescent="0.25">
      <c r="A8" s="18" t="s">
        <v>5</v>
      </c>
      <c r="B8" s="18" t="s">
        <v>188</v>
      </c>
      <c r="C8" s="18" t="s">
        <v>190</v>
      </c>
      <c r="D8" s="18" t="s">
        <v>193</v>
      </c>
      <c r="E8" s="18" t="s">
        <v>189</v>
      </c>
      <c r="F8" s="18" t="s">
        <v>191</v>
      </c>
      <c r="G8" s="18" t="s">
        <v>194</v>
      </c>
      <c r="H8" s="18" t="s">
        <v>192</v>
      </c>
      <c r="I8" s="18" t="s">
        <v>197</v>
      </c>
      <c r="J8" s="18" t="s">
        <v>199</v>
      </c>
      <c r="K8" s="18" t="s">
        <v>200</v>
      </c>
    </row>
    <row r="9" spans="1:15" x14ac:dyDescent="0.25">
      <c r="A9" s="49">
        <v>26</v>
      </c>
      <c r="B9" s="28"/>
      <c r="C9" s="96"/>
      <c r="D9" s="28"/>
      <c r="E9" s="28"/>
      <c r="F9" s="89"/>
      <c r="G9" s="28"/>
      <c r="H9" s="48"/>
      <c r="I9" s="48"/>
      <c r="J9" s="48"/>
      <c r="K9" s="48"/>
    </row>
    <row r="10" spans="1:15" x14ac:dyDescent="0.25">
      <c r="A10" s="49">
        <v>27</v>
      </c>
      <c r="B10" s="28"/>
      <c r="C10" s="96"/>
      <c r="D10" s="28"/>
      <c r="E10" s="28"/>
      <c r="F10" s="89"/>
      <c r="G10" s="28"/>
      <c r="H10" s="48"/>
      <c r="I10" s="48"/>
      <c r="J10" s="48"/>
      <c r="K10" s="48"/>
    </row>
    <row r="11" spans="1:15" x14ac:dyDescent="0.25">
      <c r="A11" s="49">
        <v>28</v>
      </c>
      <c r="B11" s="28"/>
      <c r="C11" s="28"/>
      <c r="D11" s="28"/>
      <c r="E11" s="28"/>
      <c r="F11" s="28"/>
      <c r="G11" s="28"/>
      <c r="H11" s="48"/>
      <c r="I11" s="48"/>
      <c r="J11" s="48"/>
      <c r="K11" s="48"/>
    </row>
    <row r="12" spans="1:15" x14ac:dyDescent="0.25">
      <c r="A12" s="49">
        <v>29</v>
      </c>
      <c r="B12" s="28"/>
      <c r="C12" s="28"/>
      <c r="D12" s="28"/>
      <c r="E12" s="28"/>
      <c r="F12" s="28"/>
      <c r="G12" s="28"/>
      <c r="H12" s="48"/>
      <c r="I12" s="48"/>
      <c r="J12" s="48"/>
      <c r="K12" s="48"/>
    </row>
    <row r="13" spans="1:15" x14ac:dyDescent="0.25">
      <c r="A13" s="49">
        <v>30</v>
      </c>
      <c r="B13" s="28"/>
      <c r="C13" s="96"/>
      <c r="D13" s="28"/>
      <c r="E13" s="28"/>
      <c r="F13" s="92"/>
      <c r="G13" s="28"/>
      <c r="H13" s="48"/>
      <c r="I13" s="48"/>
      <c r="J13" s="48"/>
      <c r="K13" s="48"/>
    </row>
    <row r="14" spans="1:15" x14ac:dyDescent="0.25">
      <c r="A14" s="49">
        <v>31</v>
      </c>
      <c r="B14" s="28"/>
      <c r="C14" s="96"/>
      <c r="D14" s="28"/>
      <c r="E14" s="28"/>
      <c r="F14" s="92"/>
      <c r="G14" s="28"/>
      <c r="H14" s="48"/>
      <c r="I14" s="48"/>
      <c r="J14" s="48"/>
      <c r="K14" s="48"/>
    </row>
    <row r="15" spans="1:15" x14ac:dyDescent="0.25">
      <c r="A15" s="49">
        <v>1</v>
      </c>
      <c r="B15" s="28"/>
      <c r="C15" s="96"/>
      <c r="D15" s="28"/>
      <c r="E15" s="28"/>
      <c r="F15" s="92"/>
      <c r="G15" s="28"/>
      <c r="H15" s="48"/>
      <c r="I15" s="48"/>
      <c r="J15" s="48"/>
      <c r="K15" s="48"/>
    </row>
    <row r="16" spans="1:15" x14ac:dyDescent="0.25">
      <c r="A16" s="49">
        <v>2</v>
      </c>
      <c r="B16" s="28"/>
      <c r="C16" s="96"/>
      <c r="D16" s="28"/>
      <c r="E16" s="28"/>
      <c r="F16" s="92"/>
      <c r="G16" s="28"/>
      <c r="H16" s="48"/>
      <c r="I16" s="48"/>
      <c r="J16" s="48"/>
      <c r="K16" s="48"/>
    </row>
    <row r="17" spans="1:11" x14ac:dyDescent="0.25">
      <c r="A17" s="49">
        <v>3</v>
      </c>
      <c r="B17" s="28"/>
      <c r="C17" s="96"/>
      <c r="D17" s="28"/>
      <c r="E17" s="28"/>
      <c r="F17" s="92"/>
      <c r="G17" s="28"/>
      <c r="H17" s="48"/>
      <c r="I17" s="48"/>
      <c r="J17" s="48"/>
      <c r="K17" s="48"/>
    </row>
    <row r="18" spans="1:11" x14ac:dyDescent="0.25">
      <c r="A18" s="49">
        <v>4</v>
      </c>
      <c r="B18" s="28"/>
      <c r="C18" s="96"/>
      <c r="D18" s="28"/>
      <c r="E18" s="28"/>
      <c r="F18" s="92"/>
      <c r="G18" s="28"/>
      <c r="H18" s="48"/>
      <c r="I18" s="48"/>
      <c r="J18" s="48"/>
      <c r="K18" s="48"/>
    </row>
    <row r="19" spans="1:11" x14ac:dyDescent="0.25">
      <c r="A19" s="49">
        <v>5</v>
      </c>
      <c r="B19" s="28"/>
      <c r="C19" s="96"/>
      <c r="D19" s="28"/>
      <c r="E19" s="28"/>
      <c r="F19" s="92"/>
      <c r="G19" s="28"/>
      <c r="H19" s="48"/>
      <c r="I19" s="48"/>
      <c r="J19" s="48"/>
      <c r="K19" s="48"/>
    </row>
    <row r="20" spans="1:11" x14ac:dyDescent="0.25">
      <c r="A20" s="49">
        <v>6</v>
      </c>
      <c r="B20" s="28"/>
      <c r="C20" s="96"/>
      <c r="D20" s="28"/>
      <c r="E20" s="28"/>
      <c r="F20" s="92"/>
      <c r="G20" s="28"/>
      <c r="H20" s="48"/>
      <c r="I20" s="48"/>
      <c r="J20" s="48"/>
      <c r="K20" s="48"/>
    </row>
    <row r="21" spans="1:11" x14ac:dyDescent="0.25">
      <c r="A21" s="49">
        <v>7</v>
      </c>
      <c r="B21" s="28"/>
      <c r="C21" s="96"/>
      <c r="D21" s="28"/>
      <c r="E21" s="28"/>
      <c r="F21" s="92"/>
      <c r="G21" s="28"/>
      <c r="H21" s="48"/>
      <c r="I21" s="48"/>
      <c r="J21" s="48"/>
      <c r="K21" s="48"/>
    </row>
    <row r="22" spans="1:11" x14ac:dyDescent="0.25">
      <c r="A22" s="49">
        <v>8</v>
      </c>
      <c r="B22" s="28"/>
      <c r="C22" s="96"/>
      <c r="D22" s="28"/>
      <c r="E22" s="28"/>
      <c r="F22" s="92"/>
      <c r="G22" s="28"/>
      <c r="H22" s="48"/>
      <c r="I22" s="48"/>
      <c r="J22" s="48"/>
      <c r="K22" s="48"/>
    </row>
    <row r="23" spans="1:11" x14ac:dyDescent="0.25">
      <c r="A23" s="49">
        <v>9</v>
      </c>
      <c r="B23" s="28"/>
      <c r="C23" s="96"/>
      <c r="D23" s="28"/>
      <c r="E23" s="28"/>
      <c r="F23" s="93"/>
      <c r="G23" s="28"/>
      <c r="H23" s="48"/>
      <c r="I23" s="48"/>
      <c r="J23" s="48"/>
      <c r="K23" s="48"/>
    </row>
    <row r="24" spans="1:11" x14ac:dyDescent="0.25">
      <c r="A24" s="49">
        <v>10</v>
      </c>
      <c r="B24" s="28"/>
      <c r="C24" s="96"/>
      <c r="D24" s="28"/>
      <c r="E24" s="28"/>
      <c r="F24" s="93"/>
      <c r="G24" s="28"/>
      <c r="H24" s="48"/>
      <c r="I24" s="48"/>
      <c r="J24" s="48"/>
      <c r="K24" s="48"/>
    </row>
    <row r="25" spans="1:11" x14ac:dyDescent="0.25">
      <c r="A25" s="49">
        <v>11</v>
      </c>
      <c r="B25" s="28"/>
      <c r="C25" s="96"/>
      <c r="D25" s="28"/>
      <c r="E25" s="28"/>
      <c r="F25" s="93"/>
      <c r="G25" s="28"/>
      <c r="H25" s="48"/>
      <c r="I25" s="48"/>
      <c r="J25" s="48"/>
      <c r="K25" s="48"/>
    </row>
    <row r="26" spans="1:11" x14ac:dyDescent="0.25">
      <c r="A26" s="49">
        <v>12</v>
      </c>
      <c r="B26" s="28"/>
      <c r="C26" s="96"/>
      <c r="D26" s="28"/>
      <c r="E26" s="28"/>
      <c r="F26" s="92"/>
      <c r="G26" s="28"/>
      <c r="H26" s="48"/>
      <c r="I26" s="48"/>
      <c r="J26" s="48"/>
      <c r="K26" s="48"/>
    </row>
    <row r="27" spans="1:11" x14ac:dyDescent="0.25">
      <c r="A27" s="49">
        <v>13</v>
      </c>
      <c r="B27" s="28"/>
      <c r="C27" s="96"/>
      <c r="D27" s="28"/>
      <c r="E27" s="28"/>
      <c r="F27" s="92"/>
      <c r="G27" s="28"/>
      <c r="H27" s="48"/>
      <c r="I27" s="48"/>
      <c r="J27" s="48"/>
      <c r="K27" s="48"/>
    </row>
    <row r="28" spans="1:11" x14ac:dyDescent="0.25">
      <c r="A28" s="49">
        <v>14</v>
      </c>
      <c r="B28" s="28"/>
      <c r="C28" s="96"/>
      <c r="D28" s="28"/>
      <c r="E28" s="28"/>
      <c r="F28" s="92"/>
      <c r="G28" s="28"/>
      <c r="H28" s="48"/>
      <c r="I28" s="48"/>
      <c r="J28" s="48"/>
      <c r="K28" s="48"/>
    </row>
    <row r="29" spans="1:11" x14ac:dyDescent="0.25">
      <c r="A29" s="49">
        <v>15</v>
      </c>
      <c r="B29" s="28"/>
      <c r="C29" s="96"/>
      <c r="D29" s="28"/>
      <c r="E29" s="28"/>
      <c r="F29" s="92"/>
      <c r="G29" s="28"/>
      <c r="H29" s="48"/>
      <c r="I29" s="48"/>
      <c r="J29" s="48"/>
      <c r="K29" s="48"/>
    </row>
    <row r="30" spans="1:11" x14ac:dyDescent="0.25">
      <c r="A30" s="49">
        <v>16</v>
      </c>
      <c r="B30" s="28"/>
      <c r="C30" s="96"/>
      <c r="D30" s="28"/>
      <c r="E30" s="28"/>
      <c r="F30" s="92"/>
      <c r="G30" s="28"/>
      <c r="H30" s="48"/>
      <c r="I30" s="48"/>
      <c r="J30" s="48"/>
      <c r="K30" s="48"/>
    </row>
    <row r="31" spans="1:11" x14ac:dyDescent="0.25">
      <c r="A31" s="49">
        <v>17</v>
      </c>
      <c r="B31" s="28"/>
      <c r="C31" s="96"/>
      <c r="D31" s="28"/>
      <c r="E31" s="28"/>
      <c r="F31" s="92"/>
      <c r="G31" s="28"/>
      <c r="H31" s="48"/>
      <c r="I31" s="48"/>
      <c r="J31" s="48"/>
      <c r="K31" s="48"/>
    </row>
    <row r="32" spans="1:11" x14ac:dyDescent="0.25">
      <c r="A32" s="49">
        <v>18</v>
      </c>
      <c r="B32" s="28"/>
      <c r="C32" s="96"/>
      <c r="D32" s="28"/>
      <c r="E32" s="28"/>
      <c r="F32" s="92"/>
      <c r="G32" s="28"/>
      <c r="H32" s="48"/>
      <c r="I32" s="48"/>
      <c r="J32" s="48"/>
      <c r="K32" s="48"/>
    </row>
    <row r="33" spans="1:11" x14ac:dyDescent="0.25">
      <c r="A33" s="49">
        <v>19</v>
      </c>
      <c r="B33" s="28"/>
      <c r="C33" s="96"/>
      <c r="D33" s="28"/>
      <c r="E33" s="28"/>
      <c r="F33" s="92"/>
      <c r="G33" s="28"/>
      <c r="H33" s="48"/>
      <c r="I33" s="48"/>
      <c r="J33" s="48"/>
      <c r="K33" s="48"/>
    </row>
    <row r="34" spans="1:11" x14ac:dyDescent="0.25">
      <c r="A34" s="49">
        <v>20</v>
      </c>
      <c r="B34" s="28"/>
      <c r="C34" s="96"/>
      <c r="D34" s="28"/>
      <c r="E34" s="28"/>
      <c r="F34" s="92"/>
      <c r="G34" s="28"/>
      <c r="H34" s="48"/>
      <c r="I34" s="48"/>
      <c r="J34" s="48"/>
      <c r="K34" s="48"/>
    </row>
    <row r="35" spans="1:11" x14ac:dyDescent="0.25">
      <c r="A35" s="49">
        <v>21</v>
      </c>
      <c r="B35" s="28"/>
      <c r="C35" s="96"/>
      <c r="D35" s="28"/>
      <c r="E35" s="28"/>
      <c r="F35" s="92"/>
      <c r="G35" s="28"/>
      <c r="H35" s="48"/>
      <c r="I35" s="48"/>
      <c r="J35" s="48"/>
      <c r="K35" s="48"/>
    </row>
    <row r="36" spans="1:11" x14ac:dyDescent="0.25">
      <c r="A36" s="49">
        <v>22</v>
      </c>
      <c r="B36" s="28"/>
      <c r="C36" s="96"/>
      <c r="D36" s="28"/>
      <c r="E36" s="28"/>
      <c r="F36" s="92"/>
      <c r="G36" s="28"/>
      <c r="H36" s="48"/>
      <c r="I36" s="48"/>
      <c r="J36" s="48"/>
      <c r="K36" s="48"/>
    </row>
    <row r="37" spans="1:11" x14ac:dyDescent="0.25">
      <c r="A37" s="49">
        <v>23</v>
      </c>
      <c r="B37" s="28"/>
      <c r="C37" s="96"/>
      <c r="D37" s="28"/>
      <c r="E37" s="28"/>
      <c r="F37" s="92"/>
      <c r="G37" s="28"/>
      <c r="H37" s="48"/>
      <c r="I37" s="48"/>
      <c r="J37" s="48"/>
      <c r="K37" s="48"/>
    </row>
    <row r="38" spans="1:11" x14ac:dyDescent="0.25">
      <c r="A38" s="49">
        <v>24</v>
      </c>
      <c r="B38" s="96"/>
      <c r="C38" s="28"/>
      <c r="D38" s="28"/>
      <c r="E38" s="94"/>
      <c r="F38" s="28"/>
      <c r="G38" s="28"/>
      <c r="H38" s="48"/>
      <c r="I38" s="48"/>
      <c r="J38" s="48"/>
      <c r="K38" s="48"/>
    </row>
    <row r="39" spans="1:11" x14ac:dyDescent="0.25">
      <c r="A39" s="49">
        <v>25</v>
      </c>
      <c r="B39" s="96"/>
      <c r="C39" s="28"/>
      <c r="D39" s="28"/>
      <c r="E39" s="94"/>
      <c r="F39" s="28"/>
      <c r="G39" s="28"/>
      <c r="H39" s="48"/>
      <c r="I39" s="48"/>
      <c r="J39" s="48"/>
      <c r="K39" s="48"/>
    </row>
    <row r="40" spans="1:11" x14ac:dyDescent="0.25">
      <c r="A40" s="19" t="s">
        <v>156</v>
      </c>
      <c r="B40" s="19">
        <f t="shared" ref="B40:K40" si="0">SUM(B9:B39)</f>
        <v>0</v>
      </c>
      <c r="C40" s="19">
        <f t="shared" si="0"/>
        <v>0</v>
      </c>
      <c r="D40" s="20">
        <f t="shared" si="0"/>
        <v>0</v>
      </c>
      <c r="E40" s="19">
        <f t="shared" si="0"/>
        <v>0</v>
      </c>
      <c r="F40" s="19">
        <f t="shared" si="0"/>
        <v>0</v>
      </c>
      <c r="G40" s="20">
        <f t="shared" si="0"/>
        <v>0</v>
      </c>
      <c r="H40" s="19">
        <f t="shared" si="0"/>
        <v>0</v>
      </c>
      <c r="I40" s="19">
        <f t="shared" si="0"/>
        <v>0</v>
      </c>
      <c r="J40" s="19">
        <f t="shared" si="0"/>
        <v>0</v>
      </c>
      <c r="K40" s="19">
        <f t="shared" si="0"/>
        <v>0</v>
      </c>
    </row>
    <row r="41" spans="1:11" x14ac:dyDescent="0.25">
      <c r="A41" s="119" t="s">
        <v>281</v>
      </c>
      <c r="B41" s="119"/>
      <c r="C41" s="119"/>
      <c r="D41" s="11"/>
      <c r="E41" s="119">
        <f>(E40)/2</f>
        <v>0</v>
      </c>
      <c r="F41" s="119">
        <f>(F40)/2</f>
        <v>0</v>
      </c>
      <c r="G41" s="11"/>
      <c r="H41" s="11"/>
      <c r="I41" s="119"/>
      <c r="J41" s="119"/>
      <c r="K41" s="11"/>
    </row>
    <row r="43" spans="1:11" x14ac:dyDescent="0.25">
      <c r="A43" s="107" t="s">
        <v>292</v>
      </c>
    </row>
  </sheetData>
  <sheetProtection selectLockedCells="1" sort="0" autoFilter="0"/>
  <mergeCells count="4">
    <mergeCell ref="A1:K1"/>
    <mergeCell ref="A2:K2"/>
    <mergeCell ref="A3:K3"/>
    <mergeCell ref="A5:K5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94"/>
  <sheetViews>
    <sheetView workbookViewId="0">
      <selection activeCell="C24" sqref="C24"/>
    </sheetView>
  </sheetViews>
  <sheetFormatPr baseColWidth="10" defaultColWidth="11.42578125" defaultRowHeight="15" x14ac:dyDescent="0.25"/>
  <cols>
    <col min="1" max="1" width="17.28515625" customWidth="1"/>
    <col min="2" max="2" width="8.140625" customWidth="1"/>
    <col min="3" max="3" width="31" customWidth="1"/>
    <col min="4" max="4" width="8.140625" customWidth="1"/>
    <col min="5" max="5" width="39.28515625" customWidth="1"/>
    <col min="6" max="6" width="51.140625" customWidth="1"/>
  </cols>
  <sheetData>
    <row r="1" spans="1:6" ht="15.75" thickBot="1" x14ac:dyDescent="0.3"/>
    <row r="2" spans="1:6" x14ac:dyDescent="0.25">
      <c r="A2" t="s">
        <v>8</v>
      </c>
      <c r="C2" t="s">
        <v>19</v>
      </c>
      <c r="E2" t="s">
        <v>55</v>
      </c>
      <c r="F2" s="24" t="s">
        <v>202</v>
      </c>
    </row>
    <row r="3" spans="1:6" x14ac:dyDescent="0.25">
      <c r="A3" t="s">
        <v>9</v>
      </c>
      <c r="C3" t="s">
        <v>47</v>
      </c>
      <c r="E3" t="s">
        <v>56</v>
      </c>
      <c r="F3" s="23" t="s">
        <v>87</v>
      </c>
    </row>
    <row r="4" spans="1:6" ht="15.75" thickBot="1" x14ac:dyDescent="0.3">
      <c r="C4" t="s">
        <v>20</v>
      </c>
      <c r="E4" t="s">
        <v>57</v>
      </c>
      <c r="F4" s="25" t="s">
        <v>203</v>
      </c>
    </row>
    <row r="5" spans="1:6" x14ac:dyDescent="0.25">
      <c r="A5" t="s">
        <v>10</v>
      </c>
      <c r="C5" t="s">
        <v>48</v>
      </c>
      <c r="E5" t="s">
        <v>58</v>
      </c>
      <c r="F5" s="23" t="s">
        <v>204</v>
      </c>
    </row>
    <row r="6" spans="1:6" x14ac:dyDescent="0.25">
      <c r="A6" t="s">
        <v>11</v>
      </c>
      <c r="C6" t="s">
        <v>24</v>
      </c>
      <c r="E6" t="s">
        <v>59</v>
      </c>
      <c r="F6" s="23" t="s">
        <v>205</v>
      </c>
    </row>
    <row r="7" spans="1:6" x14ac:dyDescent="0.25">
      <c r="A7" t="s">
        <v>274</v>
      </c>
      <c r="C7" t="s">
        <v>21</v>
      </c>
      <c r="E7" t="s">
        <v>60</v>
      </c>
      <c r="F7" s="23" t="s">
        <v>206</v>
      </c>
    </row>
    <row r="8" spans="1:6" x14ac:dyDescent="0.25">
      <c r="A8" t="s">
        <v>12</v>
      </c>
      <c r="C8" t="s">
        <v>25</v>
      </c>
      <c r="E8" t="s">
        <v>61</v>
      </c>
      <c r="F8" s="23" t="s">
        <v>207</v>
      </c>
    </row>
    <row r="9" spans="1:6" x14ac:dyDescent="0.25">
      <c r="A9" t="s">
        <v>13</v>
      </c>
      <c r="C9" t="s">
        <v>26</v>
      </c>
      <c r="E9" t="s">
        <v>62</v>
      </c>
      <c r="F9" s="23" t="s">
        <v>208</v>
      </c>
    </row>
    <row r="10" spans="1:6" x14ac:dyDescent="0.25">
      <c r="A10" t="s">
        <v>14</v>
      </c>
      <c r="C10" t="s">
        <v>22</v>
      </c>
      <c r="E10" t="s">
        <v>63</v>
      </c>
      <c r="F10" s="23" t="s">
        <v>209</v>
      </c>
    </row>
    <row r="11" spans="1:6" x14ac:dyDescent="0.25">
      <c r="A11" t="s">
        <v>15</v>
      </c>
      <c r="C11" t="s">
        <v>27</v>
      </c>
      <c r="E11" t="s">
        <v>64</v>
      </c>
      <c r="F11" s="23" t="s">
        <v>210</v>
      </c>
    </row>
    <row r="12" spans="1:6" x14ac:dyDescent="0.25">
      <c r="C12" t="s">
        <v>49</v>
      </c>
      <c r="E12" t="s">
        <v>65</v>
      </c>
      <c r="F12" s="23" t="s">
        <v>211</v>
      </c>
    </row>
    <row r="13" spans="1:6" ht="30" x14ac:dyDescent="0.25">
      <c r="A13" t="s">
        <v>16</v>
      </c>
      <c r="C13" t="s">
        <v>28</v>
      </c>
      <c r="E13" t="s">
        <v>66</v>
      </c>
      <c r="F13" s="23" t="s">
        <v>214</v>
      </c>
    </row>
    <row r="14" spans="1:6" x14ac:dyDescent="0.25">
      <c r="A14" t="s">
        <v>17</v>
      </c>
      <c r="C14" t="s">
        <v>29</v>
      </c>
      <c r="E14" t="s">
        <v>67</v>
      </c>
      <c r="F14" s="23" t="s">
        <v>215</v>
      </c>
    </row>
    <row r="15" spans="1:6" x14ac:dyDescent="0.25">
      <c r="A15" t="s">
        <v>276</v>
      </c>
      <c r="C15" t="s">
        <v>30</v>
      </c>
      <c r="E15" t="s">
        <v>68</v>
      </c>
      <c r="F15" s="23" t="s">
        <v>216</v>
      </c>
    </row>
    <row r="16" spans="1:6" x14ac:dyDescent="0.25">
      <c r="A16" t="s">
        <v>18</v>
      </c>
      <c r="C16" t="s">
        <v>31</v>
      </c>
      <c r="E16" t="s">
        <v>69</v>
      </c>
      <c r="F16" s="23" t="s">
        <v>217</v>
      </c>
    </row>
    <row r="17" spans="1:6" x14ac:dyDescent="0.25">
      <c r="C17" t="s">
        <v>32</v>
      </c>
      <c r="E17" t="s">
        <v>180</v>
      </c>
      <c r="F17" s="23" t="s">
        <v>218</v>
      </c>
    </row>
    <row r="18" spans="1:6" x14ac:dyDescent="0.25">
      <c r="A18" t="s">
        <v>53</v>
      </c>
      <c r="C18" t="s">
        <v>33</v>
      </c>
      <c r="E18" t="s">
        <v>70</v>
      </c>
      <c r="F18" s="23" t="s">
        <v>68</v>
      </c>
    </row>
    <row r="19" spans="1:6" ht="15.75" thickBot="1" x14ac:dyDescent="0.3">
      <c r="A19" t="s">
        <v>54</v>
      </c>
      <c r="C19" t="s">
        <v>34</v>
      </c>
      <c r="E19" t="s">
        <v>71</v>
      </c>
      <c r="F19" s="25" t="s">
        <v>213</v>
      </c>
    </row>
    <row r="20" spans="1:6" ht="15.75" thickBot="1" x14ac:dyDescent="0.3">
      <c r="C20" t="s">
        <v>35</v>
      </c>
      <c r="E20" t="s">
        <v>72</v>
      </c>
      <c r="F20" s="26" t="s">
        <v>212</v>
      </c>
    </row>
    <row r="21" spans="1:6" x14ac:dyDescent="0.25">
      <c r="C21" t="s">
        <v>198</v>
      </c>
      <c r="E21" t="s">
        <v>73</v>
      </c>
      <c r="F21" s="23" t="s">
        <v>219</v>
      </c>
    </row>
    <row r="22" spans="1:6" x14ac:dyDescent="0.25">
      <c r="C22" t="s">
        <v>36</v>
      </c>
      <c r="E22" t="s">
        <v>74</v>
      </c>
      <c r="F22" s="23" t="s">
        <v>220</v>
      </c>
    </row>
    <row r="23" spans="1:6" x14ac:dyDescent="0.25">
      <c r="C23" t="s">
        <v>51</v>
      </c>
      <c r="E23" t="s">
        <v>75</v>
      </c>
      <c r="F23" s="23" t="s">
        <v>137</v>
      </c>
    </row>
    <row r="24" spans="1:6" x14ac:dyDescent="0.25">
      <c r="A24" t="s">
        <v>163</v>
      </c>
      <c r="C24" t="s">
        <v>37</v>
      </c>
      <c r="E24" t="s">
        <v>76</v>
      </c>
      <c r="F24" s="23" t="s">
        <v>221</v>
      </c>
    </row>
    <row r="25" spans="1:6" x14ac:dyDescent="0.25">
      <c r="A25" t="s">
        <v>164</v>
      </c>
      <c r="C25" t="s">
        <v>38</v>
      </c>
      <c r="E25" t="s">
        <v>77</v>
      </c>
      <c r="F25" s="23" t="s">
        <v>222</v>
      </c>
    </row>
    <row r="26" spans="1:6" x14ac:dyDescent="0.25">
      <c r="A26" t="s">
        <v>142</v>
      </c>
      <c r="C26" t="s">
        <v>39</v>
      </c>
      <c r="E26" t="s">
        <v>78</v>
      </c>
      <c r="F26" s="23" t="s">
        <v>223</v>
      </c>
    </row>
    <row r="27" spans="1:6" x14ac:dyDescent="0.25">
      <c r="C27" t="s">
        <v>40</v>
      </c>
      <c r="E27" t="s">
        <v>79</v>
      </c>
      <c r="F27" s="23" t="s">
        <v>69</v>
      </c>
    </row>
    <row r="28" spans="1:6" x14ac:dyDescent="0.25">
      <c r="C28" t="s">
        <v>41</v>
      </c>
      <c r="E28" t="s">
        <v>80</v>
      </c>
      <c r="F28" s="23" t="s">
        <v>224</v>
      </c>
    </row>
    <row r="29" spans="1:6" x14ac:dyDescent="0.25">
      <c r="C29" t="s">
        <v>42</v>
      </c>
      <c r="E29" t="s">
        <v>81</v>
      </c>
      <c r="F29" s="23" t="s">
        <v>140</v>
      </c>
    </row>
    <row r="30" spans="1:6" x14ac:dyDescent="0.25">
      <c r="C30" t="s">
        <v>43</v>
      </c>
      <c r="E30" t="s">
        <v>82</v>
      </c>
      <c r="F30" s="23" t="s">
        <v>142</v>
      </c>
    </row>
    <row r="31" spans="1:6" x14ac:dyDescent="0.25">
      <c r="C31" t="s">
        <v>44</v>
      </c>
      <c r="E31" t="s">
        <v>83</v>
      </c>
      <c r="F31" s="23" t="s">
        <v>107</v>
      </c>
    </row>
    <row r="32" spans="1:6" x14ac:dyDescent="0.25">
      <c r="C32" t="s">
        <v>45</v>
      </c>
      <c r="E32" t="s">
        <v>84</v>
      </c>
      <c r="F32" s="23" t="s">
        <v>81</v>
      </c>
    </row>
    <row r="33" spans="3:6" x14ac:dyDescent="0.25">
      <c r="C33" t="s">
        <v>46</v>
      </c>
      <c r="E33" t="s">
        <v>85</v>
      </c>
      <c r="F33" s="23" t="s">
        <v>58</v>
      </c>
    </row>
    <row r="34" spans="3:6" ht="15.75" thickBot="1" x14ac:dyDescent="0.3">
      <c r="C34" t="s">
        <v>52</v>
      </c>
      <c r="E34" t="s">
        <v>86</v>
      </c>
      <c r="F34" s="25" t="s">
        <v>225</v>
      </c>
    </row>
    <row r="35" spans="3:6" ht="15.75" thickBot="1" x14ac:dyDescent="0.3">
      <c r="E35" t="s">
        <v>279</v>
      </c>
      <c r="F35" s="26" t="s">
        <v>104</v>
      </c>
    </row>
    <row r="36" spans="3:6" x14ac:dyDescent="0.25">
      <c r="E36" t="s">
        <v>87</v>
      </c>
      <c r="F36" s="24" t="s">
        <v>226</v>
      </c>
    </row>
    <row r="37" spans="3:6" ht="15.75" thickBot="1" x14ac:dyDescent="0.3">
      <c r="E37" t="s">
        <v>88</v>
      </c>
      <c r="F37" s="27" t="s">
        <v>227</v>
      </c>
    </row>
    <row r="38" spans="3:6" ht="15.75" thickBot="1" x14ac:dyDescent="0.3">
      <c r="E38" t="s">
        <v>89</v>
      </c>
      <c r="F38" s="26" t="s">
        <v>228</v>
      </c>
    </row>
    <row r="39" spans="3:6" x14ac:dyDescent="0.25">
      <c r="C39" t="s">
        <v>147</v>
      </c>
      <c r="E39" t="s">
        <v>90</v>
      </c>
    </row>
    <row r="40" spans="3:6" x14ac:dyDescent="0.25">
      <c r="C40" t="s">
        <v>21</v>
      </c>
      <c r="E40" t="s">
        <v>91</v>
      </c>
    </row>
    <row r="41" spans="3:6" x14ac:dyDescent="0.25">
      <c r="C41" t="s">
        <v>25</v>
      </c>
      <c r="E41" t="s">
        <v>92</v>
      </c>
    </row>
    <row r="42" spans="3:6" x14ac:dyDescent="0.25">
      <c r="C42" t="s">
        <v>26</v>
      </c>
      <c r="E42" t="s">
        <v>93</v>
      </c>
    </row>
    <row r="43" spans="3:6" x14ac:dyDescent="0.25">
      <c r="C43" t="s">
        <v>38</v>
      </c>
      <c r="E43" t="s">
        <v>94</v>
      </c>
    </row>
    <row r="44" spans="3:6" x14ac:dyDescent="0.25">
      <c r="C44" t="s">
        <v>148</v>
      </c>
      <c r="E44" t="s">
        <v>95</v>
      </c>
    </row>
    <row r="45" spans="3:6" x14ac:dyDescent="0.25">
      <c r="C45" t="s">
        <v>45</v>
      </c>
      <c r="E45" t="s">
        <v>96</v>
      </c>
    </row>
    <row r="46" spans="3:6" x14ac:dyDescent="0.25">
      <c r="C46" t="s">
        <v>149</v>
      </c>
      <c r="E46" t="s">
        <v>97</v>
      </c>
    </row>
    <row r="47" spans="3:6" x14ac:dyDescent="0.25">
      <c r="C47" t="s">
        <v>19</v>
      </c>
      <c r="E47" t="s">
        <v>98</v>
      </c>
    </row>
    <row r="48" spans="3:6" x14ac:dyDescent="0.25">
      <c r="C48" t="s">
        <v>23</v>
      </c>
      <c r="E48" t="s">
        <v>99</v>
      </c>
    </row>
    <row r="49" spans="3:5" x14ac:dyDescent="0.25">
      <c r="C49" t="s">
        <v>48</v>
      </c>
      <c r="E49" t="s">
        <v>100</v>
      </c>
    </row>
    <row r="50" spans="3:5" x14ac:dyDescent="0.25">
      <c r="C50" t="s">
        <v>150</v>
      </c>
      <c r="E50" t="s">
        <v>101</v>
      </c>
    </row>
    <row r="51" spans="3:5" x14ac:dyDescent="0.25">
      <c r="C51" t="s">
        <v>151</v>
      </c>
      <c r="E51" t="s">
        <v>102</v>
      </c>
    </row>
    <row r="52" spans="3:5" x14ac:dyDescent="0.25">
      <c r="C52" t="s">
        <v>46</v>
      </c>
      <c r="E52" t="s">
        <v>103</v>
      </c>
    </row>
    <row r="53" spans="3:5" x14ac:dyDescent="0.25">
      <c r="E53" t="s">
        <v>104</v>
      </c>
    </row>
    <row r="54" spans="3:5" x14ac:dyDescent="0.25">
      <c r="E54" t="s">
        <v>105</v>
      </c>
    </row>
    <row r="55" spans="3:5" x14ac:dyDescent="0.25">
      <c r="E55" t="s">
        <v>106</v>
      </c>
    </row>
    <row r="56" spans="3:5" x14ac:dyDescent="0.25">
      <c r="E56" t="s">
        <v>107</v>
      </c>
    </row>
    <row r="57" spans="3:5" x14ac:dyDescent="0.25">
      <c r="E57" t="s">
        <v>108</v>
      </c>
    </row>
    <row r="58" spans="3:5" x14ac:dyDescent="0.25">
      <c r="E58" t="s">
        <v>165</v>
      </c>
    </row>
    <row r="59" spans="3:5" x14ac:dyDescent="0.25">
      <c r="E59" t="s">
        <v>109</v>
      </c>
    </row>
    <row r="60" spans="3:5" x14ac:dyDescent="0.25">
      <c r="E60" t="s">
        <v>110</v>
      </c>
    </row>
    <row r="61" spans="3:5" x14ac:dyDescent="0.25">
      <c r="E61" t="s">
        <v>111</v>
      </c>
    </row>
    <row r="62" spans="3:5" x14ac:dyDescent="0.25">
      <c r="E62" t="s">
        <v>112</v>
      </c>
    </row>
    <row r="63" spans="3:5" x14ac:dyDescent="0.25">
      <c r="E63" t="s">
        <v>113</v>
      </c>
    </row>
    <row r="64" spans="3:5" x14ac:dyDescent="0.25">
      <c r="E64" t="s">
        <v>114</v>
      </c>
    </row>
    <row r="65" spans="5:5" x14ac:dyDescent="0.25">
      <c r="E65" t="s">
        <v>115</v>
      </c>
    </row>
    <row r="66" spans="5:5" x14ac:dyDescent="0.25">
      <c r="E66" t="s">
        <v>116</v>
      </c>
    </row>
    <row r="67" spans="5:5" x14ac:dyDescent="0.25">
      <c r="E67" t="s">
        <v>118</v>
      </c>
    </row>
    <row r="68" spans="5:5" x14ac:dyDescent="0.25">
      <c r="E68" t="s">
        <v>117</v>
      </c>
    </row>
    <row r="69" spans="5:5" x14ac:dyDescent="0.25">
      <c r="E69" t="s">
        <v>119</v>
      </c>
    </row>
    <row r="70" spans="5:5" x14ac:dyDescent="0.25">
      <c r="E70" t="s">
        <v>120</v>
      </c>
    </row>
    <row r="71" spans="5:5" x14ac:dyDescent="0.25">
      <c r="E71" t="s">
        <v>121</v>
      </c>
    </row>
    <row r="72" spans="5:5" x14ac:dyDescent="0.25">
      <c r="E72" t="s">
        <v>122</v>
      </c>
    </row>
    <row r="73" spans="5:5" x14ac:dyDescent="0.25">
      <c r="E73" t="s">
        <v>123</v>
      </c>
    </row>
    <row r="74" spans="5:5" x14ac:dyDescent="0.25">
      <c r="E74" t="s">
        <v>124</v>
      </c>
    </row>
    <row r="75" spans="5:5" x14ac:dyDescent="0.25">
      <c r="E75" t="s">
        <v>125</v>
      </c>
    </row>
    <row r="76" spans="5:5" x14ac:dyDescent="0.25">
      <c r="E76" t="s">
        <v>126</v>
      </c>
    </row>
    <row r="77" spans="5:5" x14ac:dyDescent="0.25">
      <c r="E77" t="s">
        <v>127</v>
      </c>
    </row>
    <row r="78" spans="5:5" x14ac:dyDescent="0.25">
      <c r="E78" t="s">
        <v>128</v>
      </c>
    </row>
    <row r="79" spans="5:5" x14ac:dyDescent="0.25">
      <c r="E79" t="s">
        <v>129</v>
      </c>
    </row>
    <row r="80" spans="5:5" x14ac:dyDescent="0.25">
      <c r="E80" t="s">
        <v>130</v>
      </c>
    </row>
    <row r="81" spans="5:5" x14ac:dyDescent="0.25">
      <c r="E81" t="s">
        <v>131</v>
      </c>
    </row>
    <row r="82" spans="5:5" x14ac:dyDescent="0.25">
      <c r="E82" t="s">
        <v>132</v>
      </c>
    </row>
    <row r="83" spans="5:5" x14ac:dyDescent="0.25">
      <c r="E83" t="s">
        <v>133</v>
      </c>
    </row>
    <row r="84" spans="5:5" x14ac:dyDescent="0.25">
      <c r="E84" t="s">
        <v>134</v>
      </c>
    </row>
    <row r="85" spans="5:5" x14ac:dyDescent="0.25">
      <c r="E85" t="s">
        <v>135</v>
      </c>
    </row>
    <row r="86" spans="5:5" x14ac:dyDescent="0.25">
      <c r="E86" t="s">
        <v>136</v>
      </c>
    </row>
    <row r="87" spans="5:5" x14ac:dyDescent="0.25">
      <c r="E87" t="s">
        <v>137</v>
      </c>
    </row>
    <row r="88" spans="5:5" x14ac:dyDescent="0.25">
      <c r="E88" t="s">
        <v>138</v>
      </c>
    </row>
    <row r="89" spans="5:5" x14ac:dyDescent="0.25">
      <c r="E89" t="s">
        <v>139</v>
      </c>
    </row>
    <row r="90" spans="5:5" x14ac:dyDescent="0.25">
      <c r="E90" t="s">
        <v>140</v>
      </c>
    </row>
    <row r="91" spans="5:5" x14ac:dyDescent="0.25">
      <c r="E91" t="s">
        <v>141</v>
      </c>
    </row>
    <row r="92" spans="5:5" x14ac:dyDescent="0.25">
      <c r="E92" t="s">
        <v>142</v>
      </c>
    </row>
    <row r="93" spans="5:5" x14ac:dyDescent="0.25">
      <c r="E93" t="s">
        <v>143</v>
      </c>
    </row>
    <row r="94" spans="5:5" x14ac:dyDescent="0.25">
      <c r="E94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6"/>
  <sheetViews>
    <sheetView topLeftCell="A43" zoomScale="80" zoomScaleNormal="80" workbookViewId="0">
      <selection activeCell="E61" sqref="E61"/>
    </sheetView>
  </sheetViews>
  <sheetFormatPr baseColWidth="10" defaultColWidth="11.42578125" defaultRowHeight="15" x14ac:dyDescent="0.25"/>
  <cols>
    <col min="1" max="1" width="31.5703125" customWidth="1"/>
    <col min="2" max="2" width="26" customWidth="1"/>
    <col min="3" max="3" width="16.42578125" customWidth="1"/>
    <col min="4" max="4" width="17.85546875" customWidth="1"/>
    <col min="5" max="5" width="17.7109375" customWidth="1"/>
    <col min="6" max="6" width="17.140625" customWidth="1"/>
    <col min="7" max="7" width="18.140625" customWidth="1"/>
    <col min="8" max="8" width="12.7109375" customWidth="1"/>
  </cols>
  <sheetData>
    <row r="1" spans="1:8" ht="28.5" x14ac:dyDescent="0.45">
      <c r="A1" s="145" t="s">
        <v>285</v>
      </c>
      <c r="B1" s="145"/>
      <c r="C1" s="145"/>
      <c r="D1" s="145"/>
      <c r="E1" s="145"/>
      <c r="F1" s="145"/>
      <c r="G1" s="145"/>
      <c r="H1" s="145"/>
    </row>
    <row r="2" spans="1:8" s="107" customFormat="1" ht="21" customHeight="1" x14ac:dyDescent="0.35">
      <c r="A2" s="155" t="s">
        <v>286</v>
      </c>
      <c r="B2" s="155"/>
      <c r="C2" s="155"/>
      <c r="D2" s="155"/>
      <c r="E2" s="155"/>
      <c r="F2" s="155"/>
      <c r="G2" s="155"/>
      <c r="H2" s="155"/>
    </row>
    <row r="3" spans="1:8" s="107" customFormat="1" ht="23.25" customHeight="1" x14ac:dyDescent="0.35">
      <c r="A3" s="155" t="s">
        <v>287</v>
      </c>
      <c r="B3" s="155"/>
      <c r="C3" s="155"/>
      <c r="D3" s="155"/>
      <c r="E3" s="155"/>
      <c r="F3" s="155"/>
      <c r="G3" s="155"/>
      <c r="H3" s="155"/>
    </row>
    <row r="4" spans="1:8" s="107" customFormat="1" ht="10.5" customHeight="1" x14ac:dyDescent="0.5">
      <c r="A4" s="129"/>
      <c r="B4" s="129"/>
      <c r="C4" s="129"/>
      <c r="D4" s="129"/>
      <c r="E4" s="129"/>
      <c r="F4" s="129"/>
      <c r="G4" s="129"/>
      <c r="H4" s="129"/>
    </row>
    <row r="5" spans="1:8" ht="18.75" x14ac:dyDescent="0.3">
      <c r="A5" s="146" t="s">
        <v>181</v>
      </c>
      <c r="B5" s="146"/>
      <c r="C5" s="146"/>
      <c r="D5" s="146"/>
      <c r="E5" s="146"/>
      <c r="F5" s="146"/>
      <c r="G5" s="146"/>
      <c r="H5" s="146"/>
    </row>
    <row r="6" spans="1:8" x14ac:dyDescent="0.25">
      <c r="A6" s="147"/>
      <c r="B6" s="148"/>
      <c r="C6" s="148"/>
      <c r="D6" s="148"/>
      <c r="E6" s="148"/>
      <c r="F6" s="148"/>
      <c r="G6" s="148"/>
      <c r="H6" s="148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4" t="s">
        <v>145</v>
      </c>
      <c r="B8" s="2">
        <f>COUNTA('CAPTURA DE DATOS'!E9:E1003)</f>
        <v>0</v>
      </c>
      <c r="G8" t="str">
        <f>'CAPTURA DE DATOS'!A6</f>
        <v>Fecha de mes a reportar</v>
      </c>
    </row>
    <row r="9" spans="1:8" x14ac:dyDescent="0.25">
      <c r="A9" s="4" t="s">
        <v>146</v>
      </c>
      <c r="B9" s="2">
        <f>COUNTA('CAPTURA DE DATOS'!F9:F1003)</f>
        <v>0</v>
      </c>
    </row>
    <row r="12" spans="1:8" ht="15.75" thickBot="1" x14ac:dyDescent="0.3"/>
    <row r="13" spans="1:8" ht="20.25" thickBot="1" x14ac:dyDescent="0.35">
      <c r="A13" s="3"/>
      <c r="B13" s="152" t="s">
        <v>160</v>
      </c>
      <c r="C13" s="153"/>
      <c r="D13" s="153"/>
      <c r="E13" s="154"/>
      <c r="F13" s="149" t="s">
        <v>161</v>
      </c>
      <c r="G13" s="150"/>
      <c r="H13" s="151"/>
    </row>
    <row r="14" spans="1:8" ht="15.75" thickTop="1" x14ac:dyDescent="0.25">
      <c r="A14" t="s">
        <v>152</v>
      </c>
      <c r="B14" s="10" t="s">
        <v>153</v>
      </c>
      <c r="C14" s="10" t="s">
        <v>154</v>
      </c>
      <c r="D14" s="10" t="s">
        <v>155</v>
      </c>
      <c r="E14" s="14" t="s">
        <v>178</v>
      </c>
      <c r="F14" s="10" t="s">
        <v>157</v>
      </c>
      <c r="G14" s="10" t="s">
        <v>158</v>
      </c>
      <c r="H14" s="14" t="s">
        <v>179</v>
      </c>
    </row>
    <row r="15" spans="1:8" x14ac:dyDescent="0.25">
      <c r="A15" t="s">
        <v>147</v>
      </c>
      <c r="B15" s="10">
        <f>COUNTIFS('CAPTURA DE DATOS'!H9:H1003,"CABEZA/CUELLO",'CAPTURA DE DATOS'!C9:C1003,"&lt;=15")</f>
        <v>0</v>
      </c>
      <c r="C15" s="11">
        <f>COUNTIFS('CAPTURA DE DATOS'!H9:H1003,"CABEZA/CUELLO",'CAPTURA DE DATOS'!C9:C1003,"&gt;=16",'CAPTURA DE DATOS'!C9:C1003,"&lt;=40")</f>
        <v>0</v>
      </c>
      <c r="D15" s="11">
        <f>COUNTIFS('CAPTURA DE DATOS'!H9:H1003,"CABEZA/CUELLO",'CAPTURA DE DATOS'!C9:C1003,"&gt;40")</f>
        <v>0</v>
      </c>
      <c r="E15" s="12">
        <f>SUM('INFORME MENSUAL 1'!$B15:$D15)</f>
        <v>0</v>
      </c>
      <c r="F15" s="11">
        <f>COUNTIFS('CAPTURA DE DATOS'!D9:D1003,"MASCULINO",'CAPTURA DE DATOS'!H9:H1003,"CABEZA/CUELLO")</f>
        <v>0</v>
      </c>
      <c r="G15" s="11">
        <f>COUNTIFS('CAPTURA DE DATOS'!D9:D1003,"FEMENINO",'CAPTURA DE DATOS'!H9:H1003,"CABEZA/CUELLO")</f>
        <v>0</v>
      </c>
      <c r="H15" s="12">
        <f>SUM('INFORME MENSUAL 1'!$F15:$G15)</f>
        <v>0</v>
      </c>
    </row>
    <row r="16" spans="1:8" x14ac:dyDescent="0.25">
      <c r="A16" t="s">
        <v>21</v>
      </c>
      <c r="B16" s="10">
        <f>COUNTIFS('CAPTURA DE DATOS'!H9:H1003,"COLUMNA CERVICAL",'CAPTURA DE DATOS'!C9:C1003,"&lt;=15")</f>
        <v>0</v>
      </c>
      <c r="C16" s="11">
        <f>COUNTIFS('CAPTURA DE DATOS'!H9:H1003,"COLUMNA CERVICAL",'CAPTURA DE DATOS'!C9:C1003,"&gt;=16",'CAPTURA DE DATOS'!C9:C1003,"&lt;=40")</f>
        <v>0</v>
      </c>
      <c r="D16" s="11">
        <f>COUNTIFS('CAPTURA DE DATOS'!H9:H1003,"COLUMNA CERVICAL",'CAPTURA DE DATOS'!C9:C1003,"&gt;40")</f>
        <v>0</v>
      </c>
      <c r="E16" s="12">
        <f>SUM('INFORME MENSUAL 1'!$B16:$D16)</f>
        <v>0</v>
      </c>
      <c r="F16" s="11">
        <f>COUNTIFS('CAPTURA DE DATOS'!D9:D1003,"MASCULINO",'CAPTURA DE DATOS'!H9:H1003,"COLUMNA CERVICAL")</f>
        <v>0</v>
      </c>
      <c r="G16" s="11">
        <f>COUNTIFS('CAPTURA DE DATOS'!D9:D1003,"FEMENINO",'CAPTURA DE DATOS'!H9:H1003,"COLUMNA CERVICAL")</f>
        <v>0</v>
      </c>
      <c r="H16" s="12">
        <f>SUM('INFORME MENSUAL 1'!$F16:$G16)</f>
        <v>0</v>
      </c>
    </row>
    <row r="17" spans="1:8" x14ac:dyDescent="0.25">
      <c r="A17" t="s">
        <v>25</v>
      </c>
      <c r="B17" s="10">
        <f>COUNTIFS('CAPTURA DE DATOS'!H9:H1003,"COLUMNA DORSAL",'CAPTURA DE DATOS'!C9:C1003,"&lt;=15")</f>
        <v>0</v>
      </c>
      <c r="C17" s="11">
        <f>COUNTIFS('CAPTURA DE DATOS'!H9:H1003,"COLUMNA DORSAL",'CAPTURA DE DATOS'!C9:C1003,"&gt;=16",'CAPTURA DE DATOS'!C9:C1003,"&lt;=40")</f>
        <v>0</v>
      </c>
      <c r="D17" s="11">
        <f>COUNTIFS('CAPTURA DE DATOS'!H9:H1003,"COLUMNA DORSAL",'CAPTURA DE DATOS'!C9:C1003,"&gt;40")</f>
        <v>0</v>
      </c>
      <c r="E17" s="12">
        <f>SUM('INFORME MENSUAL 1'!$B17:$D17)</f>
        <v>0</v>
      </c>
      <c r="F17" s="11">
        <f>COUNTIFS('CAPTURA DE DATOS'!D9:D1003,"MASCULINO",'CAPTURA DE DATOS'!H9:H1003,"COLUMNA DORSAL")</f>
        <v>0</v>
      </c>
      <c r="G17" s="11">
        <f>COUNTIFS('CAPTURA DE DATOS'!D9:D1003,"FEMENINO",'CAPTURA DE DATOS'!H9:H1003,"COLUMNA DORSAL")</f>
        <v>0</v>
      </c>
      <c r="H17" s="12">
        <f>SUM('INFORME MENSUAL 1'!$F17:$G17)</f>
        <v>0</v>
      </c>
    </row>
    <row r="18" spans="1:8" x14ac:dyDescent="0.25">
      <c r="A18" t="s">
        <v>26</v>
      </c>
      <c r="B18" s="10">
        <f>COUNTIFS('CAPTURA DE DATOS'!H9:H1003,"COLUMNA LUMBAR",'CAPTURA DE DATOS'!C9:C1003,"&lt;=15")</f>
        <v>0</v>
      </c>
      <c r="C18" s="11">
        <f>COUNTIFS('CAPTURA DE DATOS'!H9:H1003,"COLUMNA LUMBAR",'CAPTURA DE DATOS'!C9:C1003,"&gt;=16",'CAPTURA DE DATOS'!C9:C1003,"&lt;=40")</f>
        <v>0</v>
      </c>
      <c r="D18" s="11">
        <f>COUNTIFS('CAPTURA DE DATOS'!H9:H1003,"COLUMNA LUMBAR",'CAPTURA DE DATOS'!C9:C1003,"&gt;40")</f>
        <v>0</v>
      </c>
      <c r="E18" s="12">
        <f>SUM('INFORME MENSUAL 1'!$B18:$D18)</f>
        <v>0</v>
      </c>
      <c r="F18" s="11">
        <f>COUNTIFS('CAPTURA DE DATOS'!D9:D1003,"MASCULINO",'CAPTURA DE DATOS'!H9:H1003,"COLUMNA LUMBAR")</f>
        <v>0</v>
      </c>
      <c r="G18" s="11">
        <f>COUNTIFS('CAPTURA DE DATOS'!D9:D1003,"FEMENINO",'CAPTURA DE DATOS'!H9:H1003,"COLUMNA LUMBAR")</f>
        <v>0</v>
      </c>
      <c r="H18" s="12">
        <f>SUM('INFORME MENSUAL 1'!$F18:$G18)</f>
        <v>0</v>
      </c>
    </row>
    <row r="19" spans="1:8" x14ac:dyDescent="0.25">
      <c r="A19" t="s">
        <v>38</v>
      </c>
      <c r="B19" s="10">
        <f>COUNTIFS('CAPTURA DE DATOS'!H9:H1003,"PELVIS/CADERA",'CAPTURA DE DATOS'!C9:C1003,"&lt;=15")</f>
        <v>0</v>
      </c>
      <c r="C19" s="11">
        <f>COUNTIFS('CAPTURA DE DATOS'!H9:H1003,"PELVIS/CADERA",'CAPTURA DE DATOS'!C9:C1003,"&gt;=16",'CAPTURA DE DATOS'!C9:C1003,"&lt;=40")</f>
        <v>0</v>
      </c>
      <c r="D19" s="11">
        <f>COUNTIFS('CAPTURA DE DATOS'!H9:H1003,"PELVIS/CADERA",'CAPTURA DE DATOS'!C9:C1003,"&gt;40")</f>
        <v>0</v>
      </c>
      <c r="E19" s="12">
        <f>SUM('INFORME MENSUAL 1'!$B19:$D19)</f>
        <v>0</v>
      </c>
      <c r="F19" s="11">
        <f>COUNTIFS('CAPTURA DE DATOS'!D9:D1003,"MASCULINO",'CAPTURA DE DATOS'!H9:H1003,"PELVIS/CADERA")</f>
        <v>0</v>
      </c>
      <c r="G19" s="11">
        <f>COUNTIFS('CAPTURA DE DATOS'!D9:D1003,"FEMENINO",'CAPTURA DE DATOS'!H9:H1003,"PELVIS/CADERA")</f>
        <v>0</v>
      </c>
      <c r="H19" s="12">
        <f>SUM('INFORME MENSUAL 1'!$F19:$G19)</f>
        <v>0</v>
      </c>
    </row>
    <row r="20" spans="1:8" x14ac:dyDescent="0.25">
      <c r="A20" t="s">
        <v>148</v>
      </c>
      <c r="B20" s="10">
        <f>COUNTIFS('CAPTURA DE DATOS'!H9:H1003,"EXTREMIDADES/ARTICULACIONES",'CAPTURA DE DATOS'!C9:C1003,"&lt;=15")</f>
        <v>0</v>
      </c>
      <c r="C20" s="11">
        <f>COUNTIFS('CAPTURA DE DATOS'!H9:H1003,"EXTREMIDADES/ARTICULACIONES",'CAPTURA DE DATOS'!C9:C1003,"&gt;=16",'CAPTURA DE DATOS'!C9:C1003,"&lt;=40")</f>
        <v>0</v>
      </c>
      <c r="D20" s="11">
        <f>COUNTIFS('CAPTURA DE DATOS'!H9:H1003,"EXTREMIDADES/ARTICULACIONES",'CAPTURA DE DATOS'!C9:C1003,"&gt;40")</f>
        <v>0</v>
      </c>
      <c r="E20" s="12">
        <f>SUM('INFORME MENSUAL 1'!$B20:$D20)</f>
        <v>0</v>
      </c>
      <c r="F20" s="11">
        <f>COUNTIFS('CAPTURA DE DATOS'!D9:D1003,"MASCULINO",'CAPTURA DE DATOS'!H9:H1003,"EXTREMIDADES/ARTICULACIONES")</f>
        <v>0</v>
      </c>
      <c r="G20" s="11">
        <f>COUNTIFS('CAPTURA DE DATOS'!D9:D1003,"FEMENINO",'CAPTURA DE DATOS'!H9:H1003,"EXTREMIDADES/ARTICULACIONES")</f>
        <v>0</v>
      </c>
      <c r="H20" s="12">
        <f>SUM('INFORME MENSUAL 1'!$F20:$G20)</f>
        <v>0</v>
      </c>
    </row>
    <row r="21" spans="1:8" x14ac:dyDescent="0.25">
      <c r="A21" t="s">
        <v>45</v>
      </c>
      <c r="B21" s="10">
        <f>COUNTIFS('CAPTURA DE DATOS'!H9:H1003,"TORAX",'CAPTURA DE DATOS'!C9:C1003,"&lt;=15")</f>
        <v>0</v>
      </c>
      <c r="C21" s="11">
        <f>COUNTIFS('CAPTURA DE DATOS'!H9:H1003,"TORAX",'CAPTURA DE DATOS'!C9:C1003,"&gt;=16",'CAPTURA DE DATOS'!C9:C1003,"&lt;=40")</f>
        <v>0</v>
      </c>
      <c r="D21" s="11">
        <f>COUNTIFS('CAPTURA DE DATOS'!H9:H1003,"TORAX",'CAPTURA DE DATOS'!C9:C1003,"&gt;40")</f>
        <v>0</v>
      </c>
      <c r="E21" s="12">
        <f>SUM('INFORME MENSUAL 1'!$B21:$D21)</f>
        <v>0</v>
      </c>
      <c r="F21" s="11">
        <f>COUNTIFS('CAPTURA DE DATOS'!D9:D1003,"MASCULINO",'CAPTURA DE DATOS'!H9:H1003,"TORAX")</f>
        <v>0</v>
      </c>
      <c r="G21" s="11">
        <f>COUNTIFS('CAPTURA DE DATOS'!D9:D1003,"FEMENINO",'CAPTURA DE DATOS'!H9:H1003,"TORAX")</f>
        <v>0</v>
      </c>
      <c r="H21" s="12">
        <f>SUM('INFORME MENSUAL 1'!$F21:$G21)</f>
        <v>0</v>
      </c>
    </row>
    <row r="22" spans="1:8" x14ac:dyDescent="0.25">
      <c r="A22" t="s">
        <v>149</v>
      </c>
      <c r="B22" s="10">
        <f>COUNTIFS('CAPTURA DE DATOS'!H9:H1003,"MIELOTAC",'CAPTURA DE DATOS'!C9:C1003,"&lt;=15")</f>
        <v>0</v>
      </c>
      <c r="C22" s="11">
        <f>COUNTIFS('CAPTURA DE DATOS'!H9:H1003,"MIELOTAC",'CAPTURA DE DATOS'!C9:C1003,"&gt;=16",'CAPTURA DE DATOS'!C9:C1003,"&lt;=40")</f>
        <v>0</v>
      </c>
      <c r="D22" s="11">
        <f>COUNTIFS('CAPTURA DE DATOS'!H9:H1003,"MIELOTAC",'CAPTURA DE DATOS'!C9:C1003,"&gt;40")</f>
        <v>0</v>
      </c>
      <c r="E22" s="12">
        <f>SUM('INFORME MENSUAL 1'!$B22:$D22)</f>
        <v>0</v>
      </c>
      <c r="F22" s="11">
        <f>COUNTIFS('CAPTURA DE DATOS'!D9:D1003,"MASCULINO",'CAPTURA DE DATOS'!H9:H1003,"MIELOTAC")</f>
        <v>0</v>
      </c>
      <c r="G22" s="11">
        <f>COUNTIFS('CAPTURA DE DATOS'!D9:D1003,"FEMENINO",'CAPTURA DE DATOS'!H9:H1003,"MIELOTAC")</f>
        <v>0</v>
      </c>
      <c r="H22" s="12">
        <f>SUM('INFORME MENSUAL 1'!$F22:$G22)</f>
        <v>0</v>
      </c>
    </row>
    <row r="23" spans="1:8" x14ac:dyDescent="0.25">
      <c r="A23" t="s">
        <v>19</v>
      </c>
      <c r="B23" s="10">
        <f>COUNTIFS('CAPTURA DE DATOS'!H9:H1003,"ABDOMEN",'CAPTURA DE DATOS'!C9:C1003,"&lt;=15")</f>
        <v>0</v>
      </c>
      <c r="C23" s="11">
        <f>COUNTIFS('CAPTURA DE DATOS'!H9:H1003,"ABDOMEN",'CAPTURA DE DATOS'!C9:C1003,"&gt;=16",'CAPTURA DE DATOS'!C9:C1003,"&lt;=40")</f>
        <v>0</v>
      </c>
      <c r="D23" s="11">
        <f>COUNTIFS('CAPTURA DE DATOS'!H9:H1003,"ABDOMEN",'CAPTURA DE DATOS'!C9:C1003,"&gt;40")</f>
        <v>0</v>
      </c>
      <c r="E23" s="12">
        <f>SUM('INFORME MENSUAL 1'!$B23:$D23)</f>
        <v>0</v>
      </c>
      <c r="F23" s="11">
        <f>COUNTIFS('CAPTURA DE DATOS'!D9:D1003,"MASCULINO",'CAPTURA DE DATOS'!H9:H1003,"ABDOMEN")</f>
        <v>0</v>
      </c>
      <c r="G23" s="11">
        <f>COUNTIFS('CAPTURA DE DATOS'!D9:D1003,"FEMENINO",'CAPTURA DE DATOS'!H9:H1003,"ABDOMEN")</f>
        <v>0</v>
      </c>
      <c r="H23" s="12">
        <f>SUM('INFORME MENSUAL 1'!$F23:$G23)</f>
        <v>0</v>
      </c>
    </row>
    <row r="24" spans="1:8" x14ac:dyDescent="0.25">
      <c r="A24" t="s">
        <v>23</v>
      </c>
      <c r="B24" s="10">
        <f>COUNTIFS('CAPTURA DE DATOS'!H9:H1003,"ANGIOTAC",'CAPTURA DE DATOS'!C9:C1003,"&lt;=15")</f>
        <v>0</v>
      </c>
      <c r="C24" s="11">
        <f>COUNTIFS('CAPTURA DE DATOS'!H9:H1003,"ANGIOTAC",'CAPTURA DE DATOS'!C9:C1003,"&gt;=16",'CAPTURA DE DATOS'!C9:C1003,"&lt;=40")</f>
        <v>0</v>
      </c>
      <c r="D24" s="11">
        <f>COUNTIFS('CAPTURA DE DATOS'!H9:H1003,"ANGIOTAC",'CAPTURA DE DATOS'!C9:C1003,"&gt;40")</f>
        <v>0</v>
      </c>
      <c r="E24" s="12">
        <f>SUM('INFORME MENSUAL 1'!$B24:$D24)</f>
        <v>0</v>
      </c>
      <c r="F24" s="11">
        <f>COUNTIFS('CAPTURA DE DATOS'!D9:D1003,"MASCULINO",'CAPTURA DE DATOS'!H9:H1003,"ANGIOTAC")</f>
        <v>0</v>
      </c>
      <c r="G24" s="11">
        <f>COUNTIFS('CAPTURA DE DATOS'!D9:D1003,"FEMENINO",'CAPTURA DE DATOS'!H9:H1003,"ANGIOTAC")</f>
        <v>0</v>
      </c>
      <c r="H24" s="12">
        <f>SUM('INFORME MENSUAL 1'!$F24:$G24)</f>
        <v>0</v>
      </c>
    </row>
    <row r="25" spans="1:8" x14ac:dyDescent="0.25">
      <c r="A25" t="s">
        <v>48</v>
      </c>
      <c r="B25" s="10">
        <f>COUNTIFS('CAPTURA DE DATOS'!H9:H1003,"BIOPSIA",'CAPTURA DE DATOS'!C9:C1003,"&lt;=15")</f>
        <v>0</v>
      </c>
      <c r="C25" s="11">
        <f>COUNTIFS('CAPTURA DE DATOS'!H9:H1003,"BIOPSIA",'CAPTURA DE DATOS'!C9:C1003,"&gt;=16",'CAPTURA DE DATOS'!C9:C1003,"&lt;=40")</f>
        <v>0</v>
      </c>
      <c r="D25" s="11">
        <f>COUNTIFS('CAPTURA DE DATOS'!H9:H1003,"BIOPSIA",'CAPTURA DE DATOS'!C9:C1003,"&gt;40")</f>
        <v>0</v>
      </c>
      <c r="E25" s="12">
        <f>SUM('INFORME MENSUAL 1'!$B25:$D25)</f>
        <v>0</v>
      </c>
      <c r="F25" s="11">
        <f>COUNTIFS('CAPTURA DE DATOS'!D9:D1003,"MASCULINO",'CAPTURA DE DATOS'!H9:H1003,"BIOPSIA")</f>
        <v>0</v>
      </c>
      <c r="G25" s="11">
        <f>COUNTIFS('CAPTURA DE DATOS'!D9:D1003,"FEMENINO",'CAPTURA DE DATOS'!H9:H1003,"BIOPSIA")</f>
        <v>0</v>
      </c>
      <c r="H25" s="12">
        <f>SUM('INFORME MENSUAL 1'!$F25:$G25)</f>
        <v>0</v>
      </c>
    </row>
    <row r="26" spans="1:8" x14ac:dyDescent="0.25">
      <c r="A26" t="s">
        <v>150</v>
      </c>
      <c r="B26" s="10">
        <f>COUNTIFS('CAPTURA DE DATOS'!H9:H1003,"DENSITOMETRIA POR TC",'CAPTURA DE DATOS'!C9:C1003,"&lt;=15")</f>
        <v>0</v>
      </c>
      <c r="C26" s="11">
        <f>COUNTIFS('CAPTURA DE DATOS'!H9:H1003,"DENSITOMETRIA POR TC",'CAPTURA DE DATOS'!C9:C1003,"&gt;=16",'CAPTURA DE DATOS'!C9:C1003,"&lt;=40")</f>
        <v>0</v>
      </c>
      <c r="D26" s="11">
        <f>COUNTIFS('CAPTURA DE DATOS'!H9:H1003,"DENSITOMETRIA POR TC",'CAPTURA DE DATOS'!C9:C1003,"&gt;=40")</f>
        <v>0</v>
      </c>
      <c r="E26" s="12">
        <f>SUM('INFORME MENSUAL 1'!$B26:$D26)</f>
        <v>0</v>
      </c>
      <c r="F26" s="11">
        <f>COUNTIFS('CAPTURA DE DATOS'!D9:D1003,"MASCULINO",'CAPTURA DE DATOS'!H9:H1003,"DENSITOMETRIA POR TC")</f>
        <v>0</v>
      </c>
      <c r="G26" s="11">
        <f>COUNTIFS('CAPTURA DE DATOS'!D9:D1003,"FEMENINO",'CAPTURA DE DATOS'!H9:H1003,"DENSITOMETRIA POR TC")</f>
        <v>0</v>
      </c>
      <c r="H26" s="12">
        <f>SUM('INFORME MENSUAL 1'!$F26:$G26)</f>
        <v>0</v>
      </c>
    </row>
    <row r="27" spans="1:8" x14ac:dyDescent="0.25">
      <c r="A27" t="s">
        <v>151</v>
      </c>
      <c r="B27" s="10">
        <f>COUNTIFS('CAPTURA DE DATOS'!H9:H1003,"PROTOCOLO",'CAPTURA DE DATOS'!C9:C1003,"&lt;=15")</f>
        <v>0</v>
      </c>
      <c r="C27" s="11">
        <f>COUNTIFS('CAPTURA DE DATOS'!H9:H1003,"PROTOCOLO",'CAPTURA DE DATOS'!C9:C1003,"&gt;=16",'CAPTURA DE DATOS'!C9:C1003,"&lt;=40")</f>
        <v>0</v>
      </c>
      <c r="D27" s="11">
        <f>COUNTIFS('CAPTURA DE DATOS'!H9:H1003,"PROTOCOLO",'CAPTURA DE DATOS'!C9:C1003,"&gt;=40")</f>
        <v>0</v>
      </c>
      <c r="E27" s="12">
        <f>SUM('INFORME MENSUAL 1'!$B27:$D27)</f>
        <v>0</v>
      </c>
      <c r="F27" s="11">
        <f>COUNTIFS('CAPTURA DE DATOS'!D9:D1003,"MASCULINO",'CAPTURA DE DATOS'!H9:H1003,"PROTOCOLO")</f>
        <v>0</v>
      </c>
      <c r="G27" s="11">
        <f>COUNTIFS('CAPTURA DE DATOS'!D9:D1003,"FEMENINO",'CAPTURA DE DATOS'!H9:H1003,"PROTOCOLO")</f>
        <v>0</v>
      </c>
      <c r="H27" s="12">
        <f>SUM('INFORME MENSUAL 1'!$F27:$G27)</f>
        <v>0</v>
      </c>
    </row>
    <row r="28" spans="1:8" x14ac:dyDescent="0.25">
      <c r="A28" t="s">
        <v>46</v>
      </c>
      <c r="B28" s="10">
        <f>COUNTIFS('CAPTURA DE DATOS'!H9:H1003,"UROTAC",'CAPTURA DE DATOS'!C9:C1003,"&lt;=15")</f>
        <v>0</v>
      </c>
      <c r="C28" s="11">
        <f>COUNTIFS('CAPTURA DE DATOS'!H9:H1003,"UROTAC",'CAPTURA DE DATOS'!C9:C1003,"&gt;=16",'CAPTURA DE DATOS'!C9:C1003,"&lt;=40")</f>
        <v>0</v>
      </c>
      <c r="D28" s="11">
        <f>COUNTIFS('CAPTURA DE DATOS'!H9:H1003,"UROTAC",'CAPTURA DE DATOS'!C9:C1003,"&gt;=40")</f>
        <v>0</v>
      </c>
      <c r="E28" s="12">
        <f>SUM('INFORME MENSUAL 1'!$B28:$D28)</f>
        <v>0</v>
      </c>
      <c r="F28" s="11">
        <f>COUNTIFS('CAPTURA DE DATOS'!D9:D1003,"MASCULINO",'CAPTURA DE DATOS'!H9:H1003,"UROTAC")</f>
        <v>0</v>
      </c>
      <c r="G28" s="11">
        <f>COUNTIFS('CAPTURA DE DATOS'!D9:D1003,"FEMENINO",'CAPTURA DE DATOS'!H9:H1003,"UROTAC")</f>
        <v>0</v>
      </c>
      <c r="H28" s="12">
        <f>SUM('INFORME MENSUAL 1'!$F28:$G28)</f>
        <v>0</v>
      </c>
    </row>
    <row r="29" spans="1:8" x14ac:dyDescent="0.25">
      <c r="A29" s="9" t="s">
        <v>159</v>
      </c>
      <c r="B29" s="13">
        <f t="shared" ref="B29:H29" si="0">SUBTOTAL(109,B15:B28)</f>
        <v>0</v>
      </c>
      <c r="C29" s="13">
        <f t="shared" si="0"/>
        <v>0</v>
      </c>
      <c r="D29" s="13">
        <f t="shared" si="0"/>
        <v>0</v>
      </c>
      <c r="E29" s="13">
        <f t="shared" si="0"/>
        <v>0</v>
      </c>
      <c r="F29" s="13">
        <f t="shared" si="0"/>
        <v>0</v>
      </c>
      <c r="G29" s="13">
        <f t="shared" si="0"/>
        <v>0</v>
      </c>
      <c r="H29" s="13">
        <f t="shared" si="0"/>
        <v>0</v>
      </c>
    </row>
    <row r="32" spans="1:8" x14ac:dyDescent="0.25">
      <c r="B32" t="s">
        <v>183</v>
      </c>
      <c r="C32" s="10" t="s">
        <v>156</v>
      </c>
      <c r="E32" t="s">
        <v>167</v>
      </c>
      <c r="F32" s="10" t="s">
        <v>156</v>
      </c>
    </row>
    <row r="33" spans="1:8" x14ac:dyDescent="0.25">
      <c r="B33" t="s">
        <v>163</v>
      </c>
      <c r="C33" s="11">
        <f>COUNTIF('CAPTURA DE DATOS'!L9:L1003,"EXTERNO")</f>
        <v>0</v>
      </c>
      <c r="E33" t="s">
        <v>168</v>
      </c>
      <c r="F33" s="11">
        <f>COUNTIF('CAPTURA DE DATOS'!I9:I1003,"SI")</f>
        <v>0</v>
      </c>
    </row>
    <row r="34" spans="1:8" x14ac:dyDescent="0.25">
      <c r="B34" t="s">
        <v>164</v>
      </c>
      <c r="C34" s="11">
        <f>COUNTIF('CAPTURA DE DATOS'!L9:L1003,"HOSPITALIZACION")</f>
        <v>0</v>
      </c>
      <c r="E34" t="s">
        <v>169</v>
      </c>
      <c r="F34" s="11">
        <f>COUNTIF('CAPTURA DE DATOS'!I9:I1003,"NO")</f>
        <v>0</v>
      </c>
    </row>
    <row r="35" spans="1:8" x14ac:dyDescent="0.25">
      <c r="B35" t="s">
        <v>142</v>
      </c>
      <c r="C35" s="11">
        <f>COUNTIF('CAPTURA DE DATOS'!L9:L1003,"URGENCIAS")</f>
        <v>0</v>
      </c>
      <c r="E35" t="s">
        <v>159</v>
      </c>
      <c r="F35" s="10">
        <f>SUBTOTAL(109,F33:F34)</f>
        <v>0</v>
      </c>
    </row>
    <row r="36" spans="1:8" x14ac:dyDescent="0.25">
      <c r="B36" t="s">
        <v>159</v>
      </c>
      <c r="C36" s="10">
        <f>SUBTOTAL(109,C33:C35)</f>
        <v>0</v>
      </c>
    </row>
    <row r="38" spans="1:8" x14ac:dyDescent="0.25">
      <c r="B38" t="s">
        <v>184</v>
      </c>
      <c r="C38" s="10" t="s">
        <v>156</v>
      </c>
    </row>
    <row r="39" spans="1:8" x14ac:dyDescent="0.25">
      <c r="B39" t="s">
        <v>163</v>
      </c>
      <c r="C39" s="11">
        <f>COUNTIF('CAPTURA DE DATOS'!M9:M1003,"EXTERNO")</f>
        <v>0</v>
      </c>
    </row>
    <row r="40" spans="1:8" x14ac:dyDescent="0.25">
      <c r="B40" t="s">
        <v>164</v>
      </c>
      <c r="C40" s="11">
        <f>COUNTIF('CAPTURA DE DATOS'!M9:M1003,"HOSPITALIZACION")</f>
        <v>0</v>
      </c>
      <c r="F40" s="103"/>
    </row>
    <row r="41" spans="1:8" x14ac:dyDescent="0.25">
      <c r="B41" t="s">
        <v>142</v>
      </c>
      <c r="C41" s="11">
        <f>COUNTIF('CAPTURA DE DATOS'!M9:M1003,"URGENCIAS")</f>
        <v>0</v>
      </c>
      <c r="F41" s="104"/>
      <c r="H41" s="102"/>
    </row>
    <row r="42" spans="1:8" x14ac:dyDescent="0.25">
      <c r="B42" t="s">
        <v>159</v>
      </c>
      <c r="C42" s="10">
        <f>SUBTOTAL(109,C39:C41)</f>
        <v>0</v>
      </c>
      <c r="F42" s="104"/>
      <c r="H42" s="102"/>
    </row>
    <row r="44" spans="1:8" x14ac:dyDescent="0.25">
      <c r="A44" t="s">
        <v>3</v>
      </c>
      <c r="B44" s="10" t="s">
        <v>156</v>
      </c>
      <c r="C44" s="15" t="s">
        <v>186</v>
      </c>
    </row>
    <row r="45" spans="1:8" x14ac:dyDescent="0.25">
      <c r="A45" t="s">
        <v>170</v>
      </c>
      <c r="B45" s="11">
        <f>COUNTIF('CAPTURA DE DATOS'!J9:J1003,"ELISA")</f>
        <v>0</v>
      </c>
      <c r="C45" s="105" t="e">
        <f>('INFORME MENSUAL 1'!$B45/B9)</f>
        <v>#DIV/0!</v>
      </c>
      <c r="E45" t="s">
        <v>4</v>
      </c>
      <c r="F45" s="10" t="s">
        <v>156</v>
      </c>
      <c r="G45" s="15" t="s">
        <v>186</v>
      </c>
    </row>
    <row r="46" spans="1:8" x14ac:dyDescent="0.25">
      <c r="A46" t="s">
        <v>171</v>
      </c>
      <c r="B46" s="11">
        <f>COUNTIF('CAPTURA DE DATOS'!J9:J1003,"GARLY")</f>
        <v>0</v>
      </c>
      <c r="C46" s="106" t="e">
        <f>('INFORME MENSUAL 1'!$B46)/('CAPTURA 2'!E41)</f>
        <v>#DIV/0!</v>
      </c>
      <c r="E46" t="s">
        <v>175</v>
      </c>
      <c r="F46" s="11">
        <f>COUNTIF('CAPTURA DE DATOS'!K9:K1003,"MARTIN")</f>
        <v>0</v>
      </c>
      <c r="G46" s="105" t="e">
        <f>('INFORME MENSUAL 1'!$F46/'CAPTURA 2'!E41)</f>
        <v>#DIV/0!</v>
      </c>
    </row>
    <row r="47" spans="1:8" x14ac:dyDescent="0.25">
      <c r="A47" t="s">
        <v>275</v>
      </c>
      <c r="B47" s="11">
        <f>COUNTIF('CAPTURA DE DATOS'!J9:J1003,"RICARDO")</f>
        <v>0</v>
      </c>
      <c r="C47" s="106" t="e">
        <f>('INFORME MENSUAL 1'!$B47/'CAPTURA 2'!E41)</f>
        <v>#DIV/0!</v>
      </c>
      <c r="E47" t="s">
        <v>176</v>
      </c>
      <c r="F47" s="11">
        <f>COUNTIF('CAPTURA DE DATOS'!K9:K1003,"HILDA")</f>
        <v>0</v>
      </c>
      <c r="G47" s="105" t="e">
        <f>('INFORME MENSUAL 1'!$F47/'CAPTURA 2'!$E$41)</f>
        <v>#DIV/0!</v>
      </c>
    </row>
    <row r="48" spans="1:8" x14ac:dyDescent="0.25">
      <c r="A48" t="s">
        <v>172</v>
      </c>
      <c r="B48" s="11">
        <f>COUNTIF('CAPTURA DE DATOS'!J9:J1003,"ROBERTO")</f>
        <v>0</v>
      </c>
      <c r="C48" s="105" t="e">
        <f>('INFORME MENSUAL 1'!$B48/'CAPTURA 2'!F41)</f>
        <v>#DIV/0!</v>
      </c>
      <c r="E48" t="s">
        <v>277</v>
      </c>
      <c r="F48" s="11">
        <f>COUNTIF('CAPTURA DE DATOS'!K9:K1003,"JOEL")</f>
        <v>0</v>
      </c>
      <c r="G48" s="105" t="e">
        <f>('INFORME MENSUAL 1'!$F48/'CAPTURA 2'!$F$41)</f>
        <v>#DIV/0!</v>
      </c>
    </row>
    <row r="49" spans="1:7" x14ac:dyDescent="0.25">
      <c r="A49" t="s">
        <v>173</v>
      </c>
      <c r="B49" s="11">
        <f>COUNTIF('CAPTURA DE DATOS'!J9:J1003,"AGUSTIN")</f>
        <v>0</v>
      </c>
      <c r="C49" s="105" t="e">
        <f>('INFORME MENSUAL 1'!$B49/'CAPTURA 2'!F41)</f>
        <v>#DIV/0!</v>
      </c>
      <c r="E49" t="s">
        <v>177</v>
      </c>
      <c r="F49" s="11">
        <f>COUNTIF('CAPTURA DE DATOS'!K9:K1003,"MIGUEL")</f>
        <v>0</v>
      </c>
      <c r="G49" s="105" t="e">
        <f>('INFORME MENSUAL 1'!$F49/'CAPTURA 2'!$F$41)</f>
        <v>#DIV/0!</v>
      </c>
    </row>
    <row r="50" spans="1:7" x14ac:dyDescent="0.25">
      <c r="A50" t="s">
        <v>174</v>
      </c>
      <c r="B50" s="11">
        <f>COUNTIF('CAPTURA DE DATOS'!J9:J1003,"S/I")</f>
        <v>0</v>
      </c>
      <c r="C50" s="105" t="e">
        <f>('INFORME MENSUAL 1'!$B50/'CAPTURA 2'!G40)</f>
        <v>#DIV/0!</v>
      </c>
      <c r="E50" t="s">
        <v>159</v>
      </c>
      <c r="F50" s="10">
        <f>SUBTOTAL(109,F46:F49)</f>
        <v>0</v>
      </c>
      <c r="G50" s="16"/>
    </row>
    <row r="51" spans="1:7" x14ac:dyDescent="0.25">
      <c r="A51" t="s">
        <v>159</v>
      </c>
      <c r="B51" s="101">
        <f>SUBTOTAL(109,B45:B50)</f>
        <v>0</v>
      </c>
      <c r="C51" s="16"/>
    </row>
    <row r="54" spans="1:7" x14ac:dyDescent="0.25">
      <c r="A54" s="17" t="s">
        <v>195</v>
      </c>
      <c r="B54" s="17" t="s">
        <v>156</v>
      </c>
      <c r="C54" s="17" t="s">
        <v>196</v>
      </c>
    </row>
    <row r="55" spans="1:7" x14ac:dyDescent="0.25">
      <c r="A55" t="s">
        <v>187</v>
      </c>
      <c r="B55" s="21" t="e">
        <f>'CAPTURA 2'!G40/'CAPTURA 2'!D40</f>
        <v>#DIV/0!</v>
      </c>
      <c r="C55" s="22" t="e">
        <f>'INFORME MENSUAL 1'!$B55</f>
        <v>#DIV/0!</v>
      </c>
    </row>
    <row r="56" spans="1:7" x14ac:dyDescent="0.25">
      <c r="A56" t="s">
        <v>280</v>
      </c>
      <c r="B56" s="11">
        <f>'CAPTURA 2'!I40</f>
        <v>0</v>
      </c>
      <c r="C56" s="22">
        <f>'INFORME MENSUAL 1'!$B56</f>
        <v>0</v>
      </c>
    </row>
    <row r="57" spans="1:7" x14ac:dyDescent="0.25">
      <c r="A57" t="s">
        <v>185</v>
      </c>
      <c r="B57" s="11">
        <f>'CAPTURA 2'!H40</f>
        <v>0</v>
      </c>
      <c r="C57" s="22">
        <f>'INFORME MENSUAL 1'!$B57</f>
        <v>0</v>
      </c>
    </row>
    <row r="58" spans="1:7" x14ac:dyDescent="0.25">
      <c r="A58" t="s">
        <v>201</v>
      </c>
      <c r="B58" s="11">
        <f>'CAPTURA 2'!J40</f>
        <v>0</v>
      </c>
      <c r="C58" s="22" t="e">
        <f>'CAPTURA 2'!K40/'CAPTURA 2'!J40</f>
        <v>#DIV/0!</v>
      </c>
    </row>
    <row r="59" spans="1:7" x14ac:dyDescent="0.25">
      <c r="C59" s="16"/>
    </row>
    <row r="60" spans="1:7" x14ac:dyDescent="0.25">
      <c r="C60" s="16"/>
    </row>
    <row r="61" spans="1:7" x14ac:dyDescent="0.25">
      <c r="A61" s="107" t="s">
        <v>292</v>
      </c>
      <c r="C61" s="16"/>
    </row>
    <row r="62" spans="1:7" x14ac:dyDescent="0.25">
      <c r="C62" s="16"/>
    </row>
    <row r="77" spans="1:1" x14ac:dyDescent="0.25">
      <c r="A77" s="7"/>
    </row>
    <row r="92" spans="1:1" x14ac:dyDescent="0.25">
      <c r="A92" s="7"/>
    </row>
    <row r="96" spans="1:1" x14ac:dyDescent="0.25">
      <c r="A96" s="6"/>
    </row>
    <row r="98" spans="1:1" x14ac:dyDescent="0.25">
      <c r="A98" s="5"/>
    </row>
    <row r="99" spans="1:1" x14ac:dyDescent="0.25">
      <c r="A99" s="5"/>
    </row>
    <row r="131" spans="1:1" x14ac:dyDescent="0.25">
      <c r="A131" s="5"/>
    </row>
    <row r="135" spans="1:1" x14ac:dyDescent="0.25">
      <c r="A135" s="5"/>
    </row>
    <row r="146" spans="1:1" x14ac:dyDescent="0.25">
      <c r="A146" s="5"/>
    </row>
  </sheetData>
  <mergeCells count="7">
    <mergeCell ref="A1:H1"/>
    <mergeCell ref="A5:H5"/>
    <mergeCell ref="A6:H6"/>
    <mergeCell ref="F13:H13"/>
    <mergeCell ref="B13:E13"/>
    <mergeCell ref="A3:H3"/>
    <mergeCell ref="A2:H2"/>
  </mergeCells>
  <pageMargins left="0.70866141732283472" right="0.70866141732283472" top="0.74803149606299213" bottom="0.74803149606299213" header="0.31496062992125984" footer="0.31496062992125984"/>
  <pageSetup scale="57" orientation="landscape" r:id="rId1"/>
  <cellWatches>
    <cellWatch r="B8"/>
  </cellWatches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8" sqref="D8"/>
    </sheetView>
  </sheetViews>
  <sheetFormatPr baseColWidth="10" defaultColWidth="11.42578125" defaultRowHeight="15" x14ac:dyDescent="0.25"/>
  <cols>
    <col min="1" max="1" width="5.42578125" style="107" customWidth="1"/>
    <col min="2" max="2" width="27.7109375" customWidth="1"/>
    <col min="3" max="3" width="9" customWidth="1"/>
    <col min="4" max="4" width="3.85546875" customWidth="1"/>
    <col min="5" max="5" width="5.42578125" customWidth="1"/>
    <col min="6" max="6" width="40.7109375" customWidth="1"/>
    <col min="7" max="7" width="11" customWidth="1"/>
    <col min="8" max="8" width="4.7109375" customWidth="1"/>
    <col min="9" max="9" width="4.5703125" customWidth="1"/>
    <col min="10" max="10" width="7.5703125" customWidth="1"/>
    <col min="11" max="11" width="20.7109375" customWidth="1"/>
  </cols>
  <sheetData>
    <row r="1" spans="2:11" s="107" customFormat="1" ht="31.5" x14ac:dyDescent="0.5">
      <c r="B1" s="145" t="s">
        <v>285</v>
      </c>
      <c r="C1" s="145"/>
      <c r="D1" s="145"/>
      <c r="E1" s="145"/>
      <c r="F1" s="145"/>
      <c r="G1" s="145"/>
      <c r="H1" s="145"/>
      <c r="I1" s="50"/>
    </row>
    <row r="2" spans="2:11" s="107" customFormat="1" ht="18.75" customHeight="1" x14ac:dyDescent="0.4">
      <c r="B2" s="155" t="s">
        <v>286</v>
      </c>
      <c r="C2" s="155"/>
      <c r="D2" s="155"/>
      <c r="E2" s="155"/>
      <c r="F2" s="155"/>
      <c r="G2" s="155"/>
      <c r="H2" s="155"/>
      <c r="I2" s="135"/>
    </row>
    <row r="3" spans="2:11" s="107" customFormat="1" ht="17.25" customHeight="1" x14ac:dyDescent="0.4">
      <c r="B3" s="155" t="s">
        <v>287</v>
      </c>
      <c r="C3" s="155"/>
      <c r="D3" s="155"/>
      <c r="E3" s="155"/>
      <c r="F3" s="155"/>
      <c r="G3" s="155"/>
      <c r="H3" s="155"/>
      <c r="I3" s="135"/>
    </row>
    <row r="4" spans="2:11" ht="11.25" customHeight="1" x14ac:dyDescent="0.5"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2:11" ht="18.75" x14ac:dyDescent="0.3">
      <c r="B5" s="146" t="s">
        <v>181</v>
      </c>
      <c r="C5" s="146"/>
      <c r="D5" s="146"/>
      <c r="E5" s="146"/>
      <c r="F5" s="146"/>
      <c r="G5" s="146"/>
      <c r="H5" s="146"/>
      <c r="I5" s="51"/>
      <c r="J5" s="51"/>
      <c r="K5" s="51"/>
    </row>
    <row r="6" spans="2:11" x14ac:dyDescent="0.25"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2:11" x14ac:dyDescent="0.25">
      <c r="B7" s="134" t="str">
        <f>'CAPTURA DE DATOS'!A6</f>
        <v>Fecha de mes a reportar</v>
      </c>
      <c r="C7" s="132"/>
      <c r="D7" s="132"/>
      <c r="E7" s="132"/>
      <c r="F7" s="132"/>
      <c r="G7" s="132"/>
      <c r="H7" s="132"/>
      <c r="I7" s="132"/>
      <c r="J7" s="132"/>
      <c r="K7" s="132"/>
    </row>
    <row r="9" spans="2:11" x14ac:dyDescent="0.25">
      <c r="F9" t="s">
        <v>252</v>
      </c>
      <c r="G9" t="s">
        <v>156</v>
      </c>
    </row>
    <row r="10" spans="2:11" x14ac:dyDescent="0.25">
      <c r="B10" t="s">
        <v>166</v>
      </c>
      <c r="C10" t="s">
        <v>156</v>
      </c>
      <c r="F10" s="34" t="s">
        <v>202</v>
      </c>
      <c r="G10" s="35">
        <f>COUNTIF('CAPTURA DE DATOS'!F9:F1003,"AUDIOLOGIA/OTONEUROLOGIA")</f>
        <v>0</v>
      </c>
    </row>
    <row r="11" spans="2:11" x14ac:dyDescent="0.25">
      <c r="B11" t="s">
        <v>19</v>
      </c>
      <c r="C11">
        <f>COUNTIF('CAPTURA DE DATOS'!G9:G1003,"ABDOMEN")</f>
        <v>0</v>
      </c>
      <c r="F11" s="34" t="s">
        <v>87</v>
      </c>
      <c r="G11" s="35">
        <f>COUNTIF('CAPTURA DE DATOS'!F9:F1003,"FONIATRIA")</f>
        <v>0</v>
      </c>
    </row>
    <row r="12" spans="2:11" x14ac:dyDescent="0.25">
      <c r="B12" t="s">
        <v>47</v>
      </c>
      <c r="C12">
        <f>COUNTIF('CAPTURA DE DATOS'!G9:G1003,'HOJA DE REFERENCIA'!C3)</f>
        <v>0</v>
      </c>
      <c r="F12" s="34" t="s">
        <v>203</v>
      </c>
      <c r="G12" s="35">
        <f>COUNTIF('CAPTURA DE DATOS'!F9:F1003,"PATOLOGIA DEL LENGUAJE")</f>
        <v>0</v>
      </c>
    </row>
    <row r="13" spans="2:11" x14ac:dyDescent="0.25">
      <c r="B13" t="s">
        <v>20</v>
      </c>
      <c r="C13">
        <f>COUNTIF('CAPTURA DE DATOS'!G9:G1003,"MEDICIONES ORTOPEDICAS")</f>
        <v>0</v>
      </c>
      <c r="F13" s="34" t="s">
        <v>204</v>
      </c>
      <c r="G13" s="35">
        <f>COUNTIF('CAPTURA DE DATOS'!F9:F1003,"REHAB AMPUTADOS")</f>
        <v>0</v>
      </c>
    </row>
    <row r="14" spans="2:11" x14ac:dyDescent="0.25">
      <c r="B14" t="s">
        <v>48</v>
      </c>
      <c r="C14">
        <f>COUNTIF('CAPTURA DE DATOS'!G9:G1003,"BIOPSIA")</f>
        <v>0</v>
      </c>
      <c r="F14" s="34" t="s">
        <v>205</v>
      </c>
      <c r="G14" s="35">
        <f>COUNTIF('CAPTURA DE DATOS'!F9:F1003,"REHAB DEL DEPORTE")</f>
        <v>0</v>
      </c>
    </row>
    <row r="15" spans="2:11" x14ac:dyDescent="0.25">
      <c r="B15" t="s">
        <v>24</v>
      </c>
      <c r="C15">
        <f>COUNTIF('CAPTURA DE DATOS'!G9:G1003,"CODO")</f>
        <v>0</v>
      </c>
      <c r="F15" s="34" t="s">
        <v>206</v>
      </c>
      <c r="G15" s="35">
        <f>COUNTIF('CAPTURA DE DATOS'!F9:F1003,"REHAB DE COLUMNA")</f>
        <v>0</v>
      </c>
    </row>
    <row r="16" spans="2:11" x14ac:dyDescent="0.25">
      <c r="B16" t="s">
        <v>21</v>
      </c>
      <c r="C16">
        <f>COUNTIF('CAPTURA DE DATOS'!G9:G1003,"COLUMNA CERVICAL")</f>
        <v>0</v>
      </c>
      <c r="F16" s="34" t="s">
        <v>207</v>
      </c>
      <c r="G16" s="35">
        <f>COUNTIF('CAPTURA DE DATOS'!F9:F1003,"REHAB OSTEOARTICULAR")</f>
        <v>0</v>
      </c>
    </row>
    <row r="17" spans="2:7" x14ac:dyDescent="0.25">
      <c r="B17" t="s">
        <v>25</v>
      </c>
      <c r="C17">
        <f>COUNTIF('CAPTURA DE DATOS'!G9:G1003,"COLUMNA DORSAL")</f>
        <v>0</v>
      </c>
      <c r="F17" s="34" t="s">
        <v>208</v>
      </c>
      <c r="G17" s="35">
        <f>COUNTIF('CAPTURA DE DATOS'!F9:F1003,"NEUROLOGIA")</f>
        <v>0</v>
      </c>
    </row>
    <row r="18" spans="2:7" x14ac:dyDescent="0.25">
      <c r="B18" t="s">
        <v>26</v>
      </c>
      <c r="C18">
        <f>COUNTIF('CAPTURA DE DATOS'!G9:G1003,"COLUMNA LUMBAR")</f>
        <v>0</v>
      </c>
      <c r="F18" s="34" t="s">
        <v>209</v>
      </c>
      <c r="G18" s="35">
        <f>COUNTIF('CAPTURA DE DATOS'!F9:F1003,"REHAB LESIONADOS MEDULARES")</f>
        <v>0</v>
      </c>
    </row>
    <row r="19" spans="2:7" x14ac:dyDescent="0.25">
      <c r="B19" t="s">
        <v>22</v>
      </c>
      <c r="C19">
        <f>COUNTIF('CAPTURA DE DATOS'!G9:G1003,"CRANEO")</f>
        <v>0</v>
      </c>
      <c r="F19" s="34" t="s">
        <v>210</v>
      </c>
      <c r="G19" s="35">
        <f>COUNTIF('CAPTURA DE DATOS'!F9:F1003,"REHAB ENFERMEDAD VASCULAR CEREBRAL")</f>
        <v>0</v>
      </c>
    </row>
    <row r="20" spans="2:7" x14ac:dyDescent="0.25">
      <c r="B20" t="s">
        <v>27</v>
      </c>
      <c r="C20">
        <f>COUNTIF('CAPTURA DE DATOS'!G9:G1003,"CUELLO/LARINGE")</f>
        <v>0</v>
      </c>
      <c r="F20" s="34" t="s">
        <v>211</v>
      </c>
      <c r="G20" s="35">
        <f>COUNTIF('CAPTURA DE DATOS'!F9:F1003,"REHAB EN TRAUMA CRANEO ENCEFALICO")</f>
        <v>0</v>
      </c>
    </row>
    <row r="21" spans="2:7" ht="30" x14ac:dyDescent="0.25">
      <c r="B21" t="s">
        <v>49</v>
      </c>
      <c r="C21">
        <f>COUNTIF('CAPTURA DE DATOS'!G9:G1003,"DENSITOMETRIA")</f>
        <v>0</v>
      </c>
      <c r="F21" s="34" t="s">
        <v>214</v>
      </c>
      <c r="G21" s="35">
        <f>COUNTIF('CAPTURA DE DATOS'!F9:F1003,"MALFORMACIONES CONGENITAS Y DEFECTOS DEL TUBO NEURAL")</f>
        <v>0</v>
      </c>
    </row>
    <row r="22" spans="2:7" ht="30" x14ac:dyDescent="0.25">
      <c r="B22" t="s">
        <v>28</v>
      </c>
      <c r="C22">
        <f>COUNTIF('CAPTURA DE DATOS'!G9:G1003,"DENTAL SCAN")</f>
        <v>0</v>
      </c>
      <c r="F22" s="34" t="s">
        <v>215</v>
      </c>
      <c r="G22" s="35">
        <f>COUNTIF('CAPTURA DE DATOS'!F9:F1003,"PARALISIS CEREBRAL Y ESTIMULACION TEMPRANA")</f>
        <v>0</v>
      </c>
    </row>
    <row r="23" spans="2:7" x14ac:dyDescent="0.25">
      <c r="B23" t="s">
        <v>29</v>
      </c>
      <c r="C23">
        <f>COUNTIF('CAPTURA DE DATOS'!G9:G1003,"FEMUR")</f>
        <v>0</v>
      </c>
      <c r="F23" s="34" t="s">
        <v>216</v>
      </c>
      <c r="G23" s="35">
        <f>COUNTIF('CAPTURA DE DATOS'!F9:F1003,"REHAB GERIATRICA")</f>
        <v>0</v>
      </c>
    </row>
    <row r="24" spans="2:7" x14ac:dyDescent="0.25">
      <c r="B24" t="s">
        <v>30</v>
      </c>
      <c r="C24">
        <f>COUNTIF('CAPTURA DE DATOS'!G9:G1003,"HIPOFISIS")</f>
        <v>0</v>
      </c>
      <c r="F24" s="34" t="s">
        <v>217</v>
      </c>
      <c r="G24" s="35">
        <f>COUNTIF('CAPTURA DE DATOS'!F9:F1003,"REHAB PULMONAR")</f>
        <v>0</v>
      </c>
    </row>
    <row r="25" spans="2:7" x14ac:dyDescent="0.25">
      <c r="B25" t="s">
        <v>31</v>
      </c>
      <c r="C25">
        <f>COUNTIF('CAPTURA DE DATOS'!G9:G1003,"HOMBRO")</f>
        <v>0</v>
      </c>
      <c r="F25" s="34" t="s">
        <v>218</v>
      </c>
      <c r="G25" s="35">
        <f>COUNTIF('CAPTURA DE DATOS'!F9:F1003,"REHAB CARDIACA")</f>
        <v>0</v>
      </c>
    </row>
    <row r="26" spans="2:7" x14ac:dyDescent="0.25">
      <c r="B26" t="s">
        <v>32</v>
      </c>
      <c r="C26">
        <f>COUNTIF('CAPTURA DE DATOS'!G9:G1003,"HUMERO")</f>
        <v>0</v>
      </c>
      <c r="F26" s="34" t="s">
        <v>68</v>
      </c>
      <c r="G26" s="35">
        <f>COUNTIF('CAPTURA DE DATOS'!F9:F1003,"CARDIOLOGIA")</f>
        <v>0</v>
      </c>
    </row>
    <row r="27" spans="2:7" x14ac:dyDescent="0.25">
      <c r="B27" t="s">
        <v>33</v>
      </c>
      <c r="C27">
        <f>COUNTIF('CAPTURA DE DATOS'!G9:G1003,"MACIZO FACIAL")</f>
        <v>0</v>
      </c>
      <c r="F27" s="34" t="s">
        <v>213</v>
      </c>
      <c r="G27" s="35">
        <f>COUNTIF('CAPTURA DE DATOS'!F9:F1003,"CLINICA DE MEDICINA DEL DEPORTE")</f>
        <v>0</v>
      </c>
    </row>
    <row r="28" spans="2:7" ht="30" x14ac:dyDescent="0.25">
      <c r="B28" t="s">
        <v>34</v>
      </c>
      <c r="C28">
        <f>COUNTIF('CAPTURA DE DATOS'!G9:G1003,"MANO")</f>
        <v>0</v>
      </c>
      <c r="F28" s="34" t="s">
        <v>212</v>
      </c>
      <c r="G28" s="35">
        <f>COUNTIF('CAPTURA DE DATOS'!F9:F1003,"ELECTROMIOGRAFIA Y DISTROFIA MUSCULAR")</f>
        <v>0</v>
      </c>
    </row>
    <row r="29" spans="2:7" x14ac:dyDescent="0.25">
      <c r="B29" t="s">
        <v>35</v>
      </c>
      <c r="C29">
        <f>COUNTIF('CAPTURA DE DATOS'!G9:G1003,"MASTOIDES Y OIDOS")</f>
        <v>0</v>
      </c>
      <c r="F29" s="34" t="s">
        <v>219</v>
      </c>
      <c r="G29" s="35">
        <f>COUNTIF('CAPTURA DE DATOS'!F9:F1003,"REC ARTICULAR DE CADERA Y RODILLA")</f>
        <v>0</v>
      </c>
    </row>
    <row r="30" spans="2:7" x14ac:dyDescent="0.25">
      <c r="B30" t="s">
        <v>50</v>
      </c>
      <c r="C30">
        <f>COUNTIF('CAPTURA DE DATOS'!G9:G1003,"MIELOTC")</f>
        <v>0</v>
      </c>
      <c r="F30" s="34" t="s">
        <v>220</v>
      </c>
      <c r="G30" s="35">
        <f>COUNTIF('CAPTURA DE DATOS'!F9:F1003,"REC ARTICULAR DE HOMBRO Y CODO")</f>
        <v>0</v>
      </c>
    </row>
    <row r="31" spans="2:7" x14ac:dyDescent="0.25">
      <c r="B31" t="s">
        <v>36</v>
      </c>
      <c r="C31">
        <f>COUNTIF('CAPTURA DE DATOS'!G9:G1003,"MUÑECA")</f>
        <v>0</v>
      </c>
      <c r="F31" s="34" t="s">
        <v>137</v>
      </c>
      <c r="G31" s="35">
        <f>COUNTIF('CAPTURA DE DATOS'!F9:F1003,"REUMATOLOGIA")</f>
        <v>0</v>
      </c>
    </row>
    <row r="32" spans="2:7" x14ac:dyDescent="0.25">
      <c r="B32" t="s">
        <v>51</v>
      </c>
      <c r="C32">
        <f>COUNTIF('CAPTURA DE DATOS'!G9:G1003,"SENOS PARANASALES")</f>
        <v>0</v>
      </c>
      <c r="F32" s="34" t="s">
        <v>221</v>
      </c>
      <c r="G32" s="35">
        <f>COUNTIF('CAPTURA DE DATOS'!F9:F1003,"ORTOPEDIA DEL DEPORTE Y ARTROSCOPIA")</f>
        <v>0</v>
      </c>
    </row>
    <row r="33" spans="2:7" x14ac:dyDescent="0.25">
      <c r="B33" t="s">
        <v>37</v>
      </c>
      <c r="C33">
        <f>COUNTIF('CAPTURA DE DATOS'!G9:G1003,"ORBITAS")</f>
        <v>0</v>
      </c>
      <c r="F33" s="34" t="s">
        <v>222</v>
      </c>
      <c r="G33" s="35">
        <f>COUNTIF('CAPTURA DE DATOS'!F9:F1003,"CIRUGIA DE MANO")</f>
        <v>0</v>
      </c>
    </row>
    <row r="34" spans="2:7" x14ac:dyDescent="0.25">
      <c r="B34" t="s">
        <v>38</v>
      </c>
      <c r="C34">
        <f>COUNTIF('CAPTURA DE DATOS'!G9:G1003,"PELVIS/CADERA")</f>
        <v>0</v>
      </c>
      <c r="F34" s="34" t="s">
        <v>223</v>
      </c>
      <c r="G34" s="35">
        <f>COUNTIF('CAPTURA DE DATOS'!F9:F1003,"CIRUGIA DE TUMORES OSEOS")</f>
        <v>0</v>
      </c>
    </row>
    <row r="35" spans="2:7" x14ac:dyDescent="0.25">
      <c r="B35" t="s">
        <v>39</v>
      </c>
      <c r="C35">
        <f>COUNTIF('CAPTURA DE DATOS'!G9:G1003,"PERFUSION")</f>
        <v>0</v>
      </c>
      <c r="F35" s="34" t="s">
        <v>69</v>
      </c>
      <c r="G35" s="35">
        <f>COUNTIF('CAPTURA DE DATOS'!F9:F1003,"CIRUGIA DE COLUMNA")</f>
        <v>0</v>
      </c>
    </row>
    <row r="36" spans="2:7" x14ac:dyDescent="0.25">
      <c r="B36" t="s">
        <v>40</v>
      </c>
      <c r="C36">
        <f>COUNTIF('CAPTURA DE DATOS'!G9:G1003,"PIE")</f>
        <v>0</v>
      </c>
      <c r="F36" s="34" t="s">
        <v>224</v>
      </c>
      <c r="G36" s="35">
        <f>COUNTIF('CAPTURA DE DATOS'!F9:F1003,"INFECCIONES OSEAS Y PSEUDOARTROSIS")</f>
        <v>0</v>
      </c>
    </row>
    <row r="37" spans="2:7" x14ac:dyDescent="0.25">
      <c r="B37" t="s">
        <v>41</v>
      </c>
      <c r="C37">
        <f>COUNTIF('CAPTURA DE DATOS'!G9:G1003,"RADIO Y CUBITO")</f>
        <v>0</v>
      </c>
      <c r="F37" s="34" t="s">
        <v>140</v>
      </c>
      <c r="G37" s="35">
        <f>COUNTIF('CAPTURA DE DATOS'!F9:F1003,"TRAUMATOLOGIA")</f>
        <v>0</v>
      </c>
    </row>
    <row r="38" spans="2:7" x14ac:dyDescent="0.25">
      <c r="B38" t="s">
        <v>42</v>
      </c>
      <c r="C38">
        <f>COUNTIF('CAPTURA DE DATOS'!G9:G1003,"RODILLA")</f>
        <v>0</v>
      </c>
      <c r="F38" s="34" t="s">
        <v>142</v>
      </c>
      <c r="G38" s="35">
        <f>COUNTIF('CAPTURA DE DATOS'!F9:F1003,"URGENCIAS")</f>
        <v>0</v>
      </c>
    </row>
    <row r="39" spans="2:7" x14ac:dyDescent="0.25">
      <c r="B39" t="s">
        <v>43</v>
      </c>
      <c r="C39">
        <f>COUNTIF('CAPTURA DE DATOS'!G9:G1003,"TIBIA Y PERONE")</f>
        <v>0</v>
      </c>
      <c r="F39" s="34" t="s">
        <v>107</v>
      </c>
      <c r="G39" s="35">
        <f>COUNTIF('CAPTURA DE DATOS'!F9:F1003,"ORTOPEDIA PEDIATRICA")</f>
        <v>0</v>
      </c>
    </row>
    <row r="40" spans="2:7" x14ac:dyDescent="0.25">
      <c r="B40" t="s">
        <v>44</v>
      </c>
      <c r="C40">
        <f>COUNTIF('CAPTURA DE DATOS'!G9:G1003,"TOBILLO")</f>
        <v>0</v>
      </c>
      <c r="F40" s="34" t="s">
        <v>81</v>
      </c>
      <c r="G40" s="35">
        <f>COUNTIF('CAPTURA DE DATOS'!F9:F1003,"DEFORMIDADES NEUROMUSCULARES")</f>
        <v>0</v>
      </c>
    </row>
    <row r="41" spans="2:7" x14ac:dyDescent="0.25">
      <c r="B41" t="s">
        <v>45</v>
      </c>
      <c r="C41">
        <f>COUNTIF('CAPTURA DE DATOS'!G9:G1003,"TORAX")</f>
        <v>0</v>
      </c>
      <c r="F41" s="34" t="s">
        <v>58</v>
      </c>
      <c r="G41" s="35">
        <f>COUNTIF('CAPTURA DE DATOS'!F9:F1003,"ANESTESIOLOGIA")</f>
        <v>0</v>
      </c>
    </row>
    <row r="42" spans="2:7" x14ac:dyDescent="0.25">
      <c r="B42" t="s">
        <v>46</v>
      </c>
      <c r="C42">
        <f>COUNTIF('CAPTURA DE DATOS'!G9:G1003,"UROTAC")</f>
        <v>0</v>
      </c>
      <c r="F42" s="34" t="s">
        <v>225</v>
      </c>
      <c r="G42" s="35">
        <f>COUNTIF('CAPTURA DE DATOS'!F9:F1003,"TERAPIA INTENSIVA Y MEDICINA INTERNA")</f>
        <v>0</v>
      </c>
    </row>
    <row r="43" spans="2:7" x14ac:dyDescent="0.25">
      <c r="B43" t="s">
        <v>52</v>
      </c>
      <c r="C43">
        <f>COUNTIF('CAPTURA DE DATOS'!G9:G1003,"ARTROTAC")</f>
        <v>0</v>
      </c>
      <c r="F43" s="34" t="s">
        <v>104</v>
      </c>
      <c r="G43" s="35">
        <f>COUNTIF('CAPTURA DE DATOS'!F9:F1003,"OFTALMOLOGIA")</f>
        <v>0</v>
      </c>
    </row>
    <row r="44" spans="2:7" x14ac:dyDescent="0.25">
      <c r="B44" t="s">
        <v>159</v>
      </c>
      <c r="C44">
        <f>SUBTOTAL(109,C11:C43)</f>
        <v>0</v>
      </c>
      <c r="F44" s="34" t="s">
        <v>226</v>
      </c>
      <c r="G44" s="35">
        <f>COUNTIF('CAPTURA DE DATOS'!F9:F1003,"TRASTORNOS DE AUDICION Y EQUILIBRIO")</f>
        <v>0</v>
      </c>
    </row>
    <row r="45" spans="2:7" ht="30" x14ac:dyDescent="0.25">
      <c r="F45" s="34" t="s">
        <v>227</v>
      </c>
      <c r="G45" s="35">
        <f>COUNTIF('CAPTURA DE DATOS'!F9:F1003,"APARATO FONOARTICULADOR Y DE LA DEGLUCION")</f>
        <v>0</v>
      </c>
    </row>
    <row r="46" spans="2:7" x14ac:dyDescent="0.25">
      <c r="F46" s="34" t="s">
        <v>228</v>
      </c>
      <c r="G46" s="35">
        <f>COUNTIF('CAPTURA DE DATOS'!F9:F1003,"CENIAQ")</f>
        <v>0</v>
      </c>
    </row>
    <row r="47" spans="2:7" x14ac:dyDescent="0.25">
      <c r="F47" s="32" t="s">
        <v>159</v>
      </c>
      <c r="G47" s="33">
        <f>SUBTOTAL(109,G10:G46)</f>
        <v>0</v>
      </c>
    </row>
    <row r="50" spans="2:2" x14ac:dyDescent="0.25">
      <c r="B50" s="107" t="s">
        <v>292</v>
      </c>
    </row>
  </sheetData>
  <mergeCells count="4">
    <mergeCell ref="B5:H5"/>
    <mergeCell ref="B1:H1"/>
    <mergeCell ref="B2:H2"/>
    <mergeCell ref="B3:H3"/>
  </mergeCells>
  <pageMargins left="0.70866141732283472" right="0.70866141732283472" top="0.74803149606299213" bottom="0.74803149606299213" header="0.31496062992125984" footer="0.31496062992125984"/>
  <pageSetup scale="67" fitToHeight="2" orientation="portrait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selection activeCell="B5" sqref="B5:E5"/>
    </sheetView>
  </sheetViews>
  <sheetFormatPr baseColWidth="10" defaultColWidth="11.42578125" defaultRowHeight="15" x14ac:dyDescent="0.25"/>
  <cols>
    <col min="1" max="1" width="7.7109375" customWidth="1"/>
    <col min="2" max="2" width="31.5703125" customWidth="1"/>
    <col min="3" max="3" width="32.5703125" customWidth="1"/>
    <col min="4" max="4" width="14.7109375" customWidth="1"/>
    <col min="5" max="5" width="18.28515625" customWidth="1"/>
    <col min="6" max="6" width="14" customWidth="1"/>
    <col min="7" max="7" width="15.85546875" customWidth="1"/>
    <col min="8" max="8" width="4.85546875" customWidth="1"/>
    <col min="9" max="9" width="12" customWidth="1"/>
  </cols>
  <sheetData>
    <row r="1" spans="1:9" s="107" customFormat="1" ht="28.5" x14ac:dyDescent="0.45">
      <c r="B1" s="145" t="s">
        <v>285</v>
      </c>
      <c r="C1" s="145"/>
      <c r="D1" s="145"/>
      <c r="E1" s="145"/>
    </row>
    <row r="2" spans="1:9" s="107" customFormat="1" ht="23.25" x14ac:dyDescent="0.35">
      <c r="B2" s="155" t="s">
        <v>286</v>
      </c>
      <c r="C2" s="155"/>
      <c r="D2" s="155"/>
      <c r="E2" s="155"/>
    </row>
    <row r="3" spans="1:9" s="107" customFormat="1" ht="21" customHeight="1" x14ac:dyDescent="0.35">
      <c r="B3" s="155" t="s">
        <v>290</v>
      </c>
      <c r="C3" s="155"/>
      <c r="D3" s="155"/>
      <c r="E3" s="155"/>
    </row>
    <row r="4" spans="1:9" ht="13.5" customHeight="1" x14ac:dyDescent="0.5">
      <c r="A4" s="132"/>
      <c r="B4" s="132"/>
      <c r="C4" s="132"/>
      <c r="D4" s="132"/>
      <c r="E4" s="132"/>
      <c r="F4" s="132"/>
      <c r="G4" s="50"/>
      <c r="H4" s="50"/>
      <c r="I4" s="50"/>
    </row>
    <row r="5" spans="1:9" ht="18.75" x14ac:dyDescent="0.3">
      <c r="B5" s="156" t="s">
        <v>181</v>
      </c>
      <c r="C5" s="156"/>
      <c r="D5" s="156"/>
      <c r="E5" s="156"/>
      <c r="F5" s="51"/>
      <c r="G5" s="51"/>
      <c r="H5" s="51"/>
      <c r="I5" s="51"/>
    </row>
    <row r="6" spans="1:9" x14ac:dyDescent="0.25">
      <c r="C6" s="120" t="str">
        <f>'CAPTURA DE DATOS'!A6</f>
        <v>Fecha de mes a reportar</v>
      </c>
    </row>
    <row r="7" spans="1:9" ht="32.25" thickBot="1" x14ac:dyDescent="0.3">
      <c r="B7" s="52" t="s">
        <v>253</v>
      </c>
      <c r="C7" s="52" t="s">
        <v>254</v>
      </c>
      <c r="D7" s="52" t="s">
        <v>255</v>
      </c>
      <c r="E7" s="52" t="s">
        <v>256</v>
      </c>
    </row>
    <row r="8" spans="1:9" x14ac:dyDescent="0.25">
      <c r="B8" s="53" t="s">
        <v>257</v>
      </c>
      <c r="C8" s="54"/>
      <c r="D8" s="55"/>
      <c r="E8" s="55"/>
    </row>
    <row r="9" spans="1:9" ht="30" x14ac:dyDescent="0.25">
      <c r="B9" s="56" t="s">
        <v>258</v>
      </c>
      <c r="C9" s="23" t="s">
        <v>219</v>
      </c>
      <c r="D9" s="57">
        <f>COUNTIF('CAPTURA DE DATOS'!E9:E1003,"REC ARTICULAR DE CADERA Y RODILLA")</f>
        <v>0</v>
      </c>
      <c r="E9" s="57">
        <f>COUNTIF('CAPTURA DE DATOS'!F9:F1003,"REC ARTICULAR DE CADERA Y RODILLA")</f>
        <v>0</v>
      </c>
    </row>
    <row r="10" spans="1:9" ht="30" x14ac:dyDescent="0.25">
      <c r="B10" s="58"/>
      <c r="C10" s="23" t="s">
        <v>220</v>
      </c>
      <c r="D10" s="59">
        <f>COUNTIF('CAPTURA DE DATOS'!E9:E1003,"REC ARTICULAR DE HOMBRO Y CODO")</f>
        <v>0</v>
      </c>
      <c r="E10" s="59">
        <f>COUNTIF('CAPTURA DE DATOS'!F9:F1003,"REC ARTICULAR DE HOMBRO Y CODO")</f>
        <v>0</v>
      </c>
    </row>
    <row r="11" spans="1:9" x14ac:dyDescent="0.25">
      <c r="B11" s="58"/>
      <c r="C11" s="23" t="s">
        <v>137</v>
      </c>
      <c r="D11" s="59">
        <f>COUNTIF('CAPTURA DE DATOS'!E9:E1003,"REUMATOLOGIA")</f>
        <v>0</v>
      </c>
      <c r="E11" s="59">
        <f>COUNTIF('CAPTURA DE DATOS'!F9:F1003,"REUMATOLOGIA")</f>
        <v>0</v>
      </c>
    </row>
    <row r="12" spans="1:9" ht="30" x14ac:dyDescent="0.25">
      <c r="B12" s="58"/>
      <c r="C12" s="23" t="s">
        <v>221</v>
      </c>
      <c r="D12" s="59">
        <f>COUNTIF('CAPTURA DE DATOS'!E9:E1003,"ORTOPEDIA DEL DEPORTE Y ARTROSCOPIA")</f>
        <v>0</v>
      </c>
      <c r="E12" s="59">
        <f>COUNTIF('CAPTURA DE DATOS'!F9:F1003,"ORTOPEDIA DEL DEPORTE Y ARTROSCOPIA")</f>
        <v>0</v>
      </c>
    </row>
    <row r="13" spans="1:9" x14ac:dyDescent="0.25">
      <c r="B13" s="58" t="s">
        <v>259</v>
      </c>
      <c r="C13" s="23" t="s">
        <v>222</v>
      </c>
      <c r="D13" s="59">
        <f>COUNTIF('CAPTURA DE DATOS'!E9:E1003,"CIRUGIA DE MANO")</f>
        <v>0</v>
      </c>
      <c r="E13" s="59">
        <f>COUNTIF('CAPTURA DE DATOS'!F9:F1003,"CIRUGIA DE MANO")</f>
        <v>0</v>
      </c>
    </row>
    <row r="14" spans="1:9" x14ac:dyDescent="0.25">
      <c r="B14" s="58"/>
      <c r="C14" s="23" t="s">
        <v>223</v>
      </c>
      <c r="D14" s="59">
        <f>COUNTIF('CAPTURA DE DATOS'!E9:E1003,"CIRUGIA DE TUMORES OSEOS")</f>
        <v>0</v>
      </c>
      <c r="E14" s="59">
        <f>COUNTIF('CAPTURA DE DATOS'!F9:F1003,"CIRUGIA DE TUMORES OSEOS")</f>
        <v>0</v>
      </c>
    </row>
    <row r="15" spans="1:9" x14ac:dyDescent="0.25">
      <c r="B15" s="58"/>
      <c r="C15" s="23" t="s">
        <v>69</v>
      </c>
      <c r="D15" s="59">
        <f>COUNTIF('CAPTURA DE DATOS'!E9:E1003,"CIRUGIA DE COLUMNA")</f>
        <v>0</v>
      </c>
      <c r="E15" s="59">
        <f>COUNTIF('CAPTURA DE DATOS'!F9:F1003,"CIRUGIA DE COLUMNA")</f>
        <v>0</v>
      </c>
    </row>
    <row r="16" spans="1:9" ht="30" x14ac:dyDescent="0.25">
      <c r="B16" s="58"/>
      <c r="C16" s="23" t="s">
        <v>224</v>
      </c>
      <c r="D16" s="59">
        <f>COUNTIF('CAPTURA DE DATOS'!E9:E1003,"INFECCIONES OSEAS Y PSEUDOARTROSIS")</f>
        <v>0</v>
      </c>
      <c r="E16" s="59">
        <f>COUNTIF('CAPTURA DE DATOS'!F9:F1003,"INFECCIONES OSEAS Y PSEUDOARTROSIS")</f>
        <v>0</v>
      </c>
    </row>
    <row r="17" spans="2:5" x14ac:dyDescent="0.25">
      <c r="B17" s="56" t="s">
        <v>260</v>
      </c>
      <c r="C17" s="23" t="s">
        <v>140</v>
      </c>
      <c r="D17" s="59">
        <f>COUNTIF('CAPTURA DE DATOS'!E9:E1003,"TRAUMATOLOGIA")</f>
        <v>0</v>
      </c>
      <c r="E17" s="59">
        <f>COUNTIF('CAPTURA DE DATOS'!F9:F1003,"TRAUMATOLOGIA")</f>
        <v>0</v>
      </c>
    </row>
    <row r="18" spans="2:5" x14ac:dyDescent="0.25">
      <c r="B18" s="56"/>
      <c r="C18" s="23" t="s">
        <v>142</v>
      </c>
      <c r="D18" s="59">
        <f>COUNTIF('CAPTURA DE DATOS'!E9:E1003,"URGENCIAS")</f>
        <v>0</v>
      </c>
      <c r="E18" s="59">
        <f>COUNTIF('CAPTURA DE DATOS'!F9:F1003,"URGENCIAS")</f>
        <v>0</v>
      </c>
    </row>
    <row r="19" spans="2:5" ht="45" x14ac:dyDescent="0.25">
      <c r="B19" s="56" t="s">
        <v>261</v>
      </c>
      <c r="C19" s="23" t="s">
        <v>107</v>
      </c>
      <c r="D19" s="59">
        <f>COUNTIF('CAPTURA DE DATOS'!E9:E1003,"ORTOPEDIA PEDIATRICA")</f>
        <v>0</v>
      </c>
      <c r="E19" s="59">
        <f>COUNTIF('CAPTURA DE DATOS'!F9:F1003,"ORTOPEDIA PEDIATRICA")</f>
        <v>0</v>
      </c>
    </row>
    <row r="20" spans="2:5" ht="30" x14ac:dyDescent="0.25">
      <c r="B20" s="56"/>
      <c r="C20" s="23" t="s">
        <v>81</v>
      </c>
      <c r="D20" s="59">
        <f>COUNTIF('CAPTURA DE DATOS'!E9:E1003,"DEFORMIDADES NEUROMUSCULARES")</f>
        <v>0</v>
      </c>
      <c r="E20" s="59">
        <f>COUNTIF('CAPTURA DE DATOS'!F9:F1003,"DEFORMIDADES NEUROMUSCULARES")</f>
        <v>0</v>
      </c>
    </row>
    <row r="21" spans="2:5" ht="30.75" thickBot="1" x14ac:dyDescent="0.3">
      <c r="B21" s="56" t="s">
        <v>262</v>
      </c>
      <c r="C21" s="25" t="s">
        <v>225</v>
      </c>
      <c r="D21" s="59">
        <f>COUNTIF('CAPTURA DE DATOS'!E9:E1003,"TERAPIA INTENSIVA Y MEDICINA INTERNA")</f>
        <v>0</v>
      </c>
      <c r="E21" s="59">
        <f>COUNTIF('CAPTURA DE DATOS'!F9:F1003,"TERAPIA INTENSIVA Y MEDICINA INTERNA")</f>
        <v>0</v>
      </c>
    </row>
    <row r="22" spans="2:5" x14ac:dyDescent="0.25">
      <c r="B22" s="60" t="s">
        <v>263</v>
      </c>
      <c r="C22" s="54"/>
      <c r="D22" s="55"/>
      <c r="E22" s="55"/>
    </row>
    <row r="23" spans="2:5" x14ac:dyDescent="0.25">
      <c r="B23" s="56" t="s">
        <v>264</v>
      </c>
      <c r="C23" s="23" t="s">
        <v>204</v>
      </c>
      <c r="D23" s="57">
        <f>COUNTIF('CAPTURA DE DATOS'!E9:E1003,"REHAB AMPUTADOS")</f>
        <v>0</v>
      </c>
      <c r="E23" s="57">
        <f>COUNTIF('CAPTURA DE DATOS'!F9:F1003,"REHAB AMPUTADOS")</f>
        <v>0</v>
      </c>
    </row>
    <row r="24" spans="2:5" x14ac:dyDescent="0.25">
      <c r="B24" s="56"/>
      <c r="C24" s="23" t="s">
        <v>205</v>
      </c>
      <c r="D24" s="57">
        <f>COUNTIF('CAPTURA DE DATOS'!E9:E1003,"REHAB DEL DEPORTE")</f>
        <v>0</v>
      </c>
      <c r="E24" s="57">
        <f>COUNTIF('CAPTURA DE DATOS'!F9:F1003,"REHAB DEL DEPORTE")</f>
        <v>0</v>
      </c>
    </row>
    <row r="25" spans="2:5" x14ac:dyDescent="0.25">
      <c r="B25" s="56"/>
      <c r="C25" s="23" t="s">
        <v>206</v>
      </c>
      <c r="D25" s="57">
        <f>COUNTIF('CAPTURA DE DATOS'!E9:E1003,"REHAB DE COLUMNA")</f>
        <v>0</v>
      </c>
      <c r="E25" s="57">
        <f>COUNTIF('CAPTURA DE DATOS'!F9:F1003,"REHAB DE COLUMNA")</f>
        <v>0</v>
      </c>
    </row>
    <row r="26" spans="2:5" ht="21.75" customHeight="1" x14ac:dyDescent="0.25">
      <c r="B26" s="56"/>
      <c r="C26" s="23" t="s">
        <v>207</v>
      </c>
      <c r="D26" s="57">
        <f>COUNTIF('CAPTURA DE DATOS'!E9:E1003,"REHAB OSTEOARTICULAR")</f>
        <v>0</v>
      </c>
      <c r="E26" s="57">
        <f>COUNTIF('CAPTURA DE DATOS'!F9:F1003,"REHAB OSTEOARTICULAR")</f>
        <v>0</v>
      </c>
    </row>
    <row r="27" spans="2:5" x14ac:dyDescent="0.25">
      <c r="B27" s="56" t="s">
        <v>265</v>
      </c>
      <c r="C27" s="23" t="s">
        <v>208</v>
      </c>
      <c r="D27" s="57">
        <f>COUNTIF('CAPTURA DE DATOS'!E9:E1003,"NEUROLOGIA")</f>
        <v>0</v>
      </c>
      <c r="E27" s="57">
        <f>COUNTIF('CAPTURA DE DATOS'!F9:F1003,"NEUROLOGIA")</f>
        <v>0</v>
      </c>
    </row>
    <row r="28" spans="2:5" x14ac:dyDescent="0.25">
      <c r="B28" s="56"/>
      <c r="C28" s="23" t="s">
        <v>209</v>
      </c>
      <c r="D28" s="57">
        <f>COUNTIF('CAPTURA DE DATOS'!E9:E1003,"REHAB LESIONADOS MEDULARES")</f>
        <v>0</v>
      </c>
      <c r="E28" s="57">
        <f>COUNTIF('CAPTURA DE DATOS'!F9:F1003,"REHAB LESIONADOS MEDULARES")</f>
        <v>0</v>
      </c>
    </row>
    <row r="29" spans="2:5" ht="30" x14ac:dyDescent="0.25">
      <c r="B29" s="56"/>
      <c r="C29" s="23" t="s">
        <v>210</v>
      </c>
      <c r="D29" s="57">
        <f>COUNTIF('CAPTURA DE DATOS'!E9:E1003,"REHAB ENFERMEDAD VASCULAR CEREBRAL")</f>
        <v>0</v>
      </c>
      <c r="E29" s="57">
        <f>COUNTIF('CAPTURA DE DATOS'!F9:F1003,"REHAB ENFERMEDAD VASCULAR CEREBRAL")</f>
        <v>0</v>
      </c>
    </row>
    <row r="30" spans="2:5" ht="30" x14ac:dyDescent="0.25">
      <c r="B30" s="56"/>
      <c r="C30" s="23" t="s">
        <v>211</v>
      </c>
      <c r="D30" s="57">
        <f>COUNTIF('CAPTURA DE DATOS'!E9:E1003,"REHAB EN TRAUMA CRANEO ENCEFALICO")</f>
        <v>0</v>
      </c>
      <c r="E30" s="57">
        <f>COUNTIF('CAPTURA DE DATOS'!F9:F1003,"REHAB EN TRAUMA CRANEO ENCEFALICO")</f>
        <v>0</v>
      </c>
    </row>
    <row r="31" spans="2:5" ht="30" x14ac:dyDescent="0.25">
      <c r="B31" s="56" t="s">
        <v>133</v>
      </c>
      <c r="C31" s="23" t="s">
        <v>214</v>
      </c>
      <c r="D31" s="57">
        <f>COUNTIF('CAPTURA DE DATOS'!E9:E1003,"MALFORMACIONES CONGENITAS Y DEFECTOS DEL TUBO NEURAL")</f>
        <v>0</v>
      </c>
      <c r="E31" s="57">
        <f>COUNTIF('CAPTURA DE DATOS'!F9:F1003,"MALFORMACIONES CONGENITAS Y DEFECTOS DEL TUBO NEURAL")</f>
        <v>0</v>
      </c>
    </row>
    <row r="32" spans="2:5" ht="30" x14ac:dyDescent="0.25">
      <c r="B32" s="56"/>
      <c r="C32" s="23" t="s">
        <v>215</v>
      </c>
      <c r="D32" s="57">
        <f>COUNTIF('CAPTURA DE DATOS'!E9:E1003,"PARALISIS CEREBRAL Y ESTIMULACION TEMPRANA")</f>
        <v>0</v>
      </c>
      <c r="E32" s="57">
        <f>COUNTIF('CAPTURA DE DATOS'!F9:F1003,"PARALISIS CEREBRAL Y ESTIMULACION TEMPRANA")</f>
        <v>0</v>
      </c>
    </row>
    <row r="33" spans="2:7" ht="30" x14ac:dyDescent="0.25">
      <c r="B33" s="56" t="s">
        <v>266</v>
      </c>
      <c r="C33" s="23" t="s">
        <v>216</v>
      </c>
      <c r="D33" s="57">
        <f>COUNTIF('CAPTURA DE DATOS'!E9:E1003,"REHAB GERIATRICA")</f>
        <v>0</v>
      </c>
      <c r="E33" s="57">
        <f>COUNTIF('CAPTURA DE DATOS'!F9:F1003,"REHAB GERIATRICA")</f>
        <v>0</v>
      </c>
    </row>
    <row r="34" spans="2:7" x14ac:dyDescent="0.25">
      <c r="B34" s="56"/>
      <c r="C34" s="23" t="s">
        <v>217</v>
      </c>
      <c r="D34" s="57">
        <f>COUNTIF('CAPTURA DE DATOS'!E9:E1003,"REHAB PULMONAR")</f>
        <v>0</v>
      </c>
      <c r="E34" s="57">
        <f>COUNTIF('CAPTURA DE DATOS'!F9:F1003,"REHAB PULMONAR")</f>
        <v>0</v>
      </c>
    </row>
    <row r="35" spans="2:7" x14ac:dyDescent="0.25">
      <c r="B35" s="56"/>
      <c r="C35" s="23" t="s">
        <v>218</v>
      </c>
      <c r="D35" s="57">
        <f>COUNTIF('CAPTURA DE DATOS'!E9:E1003,"REHAB CARDIACA")</f>
        <v>0</v>
      </c>
      <c r="E35" s="57">
        <f>COUNTIF('CAPTURA DE DATOS'!F9:F1003,"REHAB CARDIACA")</f>
        <v>0</v>
      </c>
    </row>
    <row r="36" spans="2:7" x14ac:dyDescent="0.25">
      <c r="B36" s="56"/>
      <c r="C36" s="23" t="s">
        <v>68</v>
      </c>
      <c r="D36" s="57">
        <f>COUNTIF('CAPTURA DE DATOS'!E9:E1003,"CARDIOLOGIA")</f>
        <v>0</v>
      </c>
      <c r="E36" s="57">
        <f>COUNTIF('CAPTURA DE DATOS'!F9:F1003,"CARDIOLOGIA")</f>
        <v>0</v>
      </c>
    </row>
    <row r="37" spans="2:7" ht="30.75" thickBot="1" x14ac:dyDescent="0.3">
      <c r="B37" s="61" t="s">
        <v>95</v>
      </c>
      <c r="C37" s="25" t="s">
        <v>213</v>
      </c>
      <c r="D37" s="62">
        <f>COUNTIF('CAPTURA DE DATOS'!E9:E1003,"CLINICA DE MEDICINA DEL DEPORTE")</f>
        <v>0</v>
      </c>
      <c r="E37" s="62">
        <f>COUNTIF('CAPTURA DE DATOS'!F9:F1003,"CLINICA DE MEDICINA DEL DEPORTE")</f>
        <v>0</v>
      </c>
    </row>
    <row r="38" spans="2:7" ht="45.75" thickBot="1" x14ac:dyDescent="0.3">
      <c r="B38" s="63" t="s">
        <v>267</v>
      </c>
      <c r="C38" s="26" t="s">
        <v>228</v>
      </c>
      <c r="D38" s="64">
        <f>COUNTIF('CAPTURA DE DATOS'!E9:E1003,"CENIAQ")</f>
        <v>0</v>
      </c>
      <c r="E38" s="64">
        <f>COUNTIF('CAPTURA DE DATOS'!F9:F1003,"CENIAQ")</f>
        <v>0</v>
      </c>
    </row>
    <row r="39" spans="2:7" ht="15.75" thickBot="1" x14ac:dyDescent="0.3">
      <c r="B39" s="65" t="s">
        <v>104</v>
      </c>
      <c r="C39" s="26" t="s">
        <v>104</v>
      </c>
      <c r="D39" s="66">
        <f>COUNTIF('CAPTURA DE DATOS'!E9:E1003,"OFTALMOLOGIA")</f>
        <v>0</v>
      </c>
      <c r="E39" s="66">
        <f>COUNTIF('CAPTURA DE DATOS'!F9:F1003,"OFTALMOLOGIA")</f>
        <v>0</v>
      </c>
    </row>
    <row r="40" spans="2:7" ht="30" x14ac:dyDescent="0.25">
      <c r="B40" s="67" t="s">
        <v>165</v>
      </c>
      <c r="C40" s="24" t="s">
        <v>226</v>
      </c>
      <c r="D40" s="68">
        <f>COUNTIF('CAPTURA DE DATOS'!E9:E1003,"TRASTORNOS DE AUDICION Y EQUILIBRIO")</f>
        <v>0</v>
      </c>
      <c r="E40" s="68">
        <f>COUNTIF('CAPTURA DE DATOS'!F9:F1003,"TRASTORNOS DE AUDICION Y EQUILIBRIO")</f>
        <v>0</v>
      </c>
    </row>
    <row r="41" spans="2:7" ht="30.75" thickBot="1" x14ac:dyDescent="0.3">
      <c r="B41" s="69"/>
      <c r="C41" s="27" t="s">
        <v>227</v>
      </c>
      <c r="D41" s="70">
        <f>COUNTIF('CAPTURA DE DATOS'!E9:E1003,"APARATO FONOARTICULADOR Y DE LA DEGLUCION")</f>
        <v>0</v>
      </c>
      <c r="E41" s="70">
        <f>COUNTIF('CAPTURA DE DATOS'!F9:F1003,"APARATO FONOARTICULADOR Y DE LA DEGLUCION")</f>
        <v>0</v>
      </c>
    </row>
    <row r="42" spans="2:7" ht="30" x14ac:dyDescent="0.25">
      <c r="B42" s="71" t="s">
        <v>268</v>
      </c>
      <c r="C42" s="24" t="s">
        <v>202</v>
      </c>
      <c r="D42" s="72">
        <f>COUNTIF('CAPTURA DE DATOS'!E9:E1003,"AUDIOLOGIA/OTONEUROLOGIA")</f>
        <v>0</v>
      </c>
      <c r="E42" s="72">
        <f>COUNTIF('CAPTURA DE DATOS'!F9:F1003,"AUDIOLOGIA/OTONEUROLOGIA")</f>
        <v>0</v>
      </c>
    </row>
    <row r="43" spans="2:7" x14ac:dyDescent="0.25">
      <c r="B43" s="56"/>
      <c r="C43" s="23" t="s">
        <v>87</v>
      </c>
      <c r="D43" s="57">
        <f>COUNTIF('CAPTURA DE DATOS'!E9:E1003,"FONIATRIA")</f>
        <v>0</v>
      </c>
      <c r="E43" s="57">
        <f>COUNTIF('CAPTURA DE DATOS'!F9:F1003,"FONIATRIA")</f>
        <v>0</v>
      </c>
    </row>
    <row r="44" spans="2:7" ht="15.75" thickBot="1" x14ac:dyDescent="0.3">
      <c r="B44" s="61"/>
      <c r="C44" s="25" t="s">
        <v>203</v>
      </c>
      <c r="D44" s="62">
        <f>COUNTIF('CAPTURA DE DATOS'!E9:E1003,"PATOLOGIA DEL LENGUAJE")</f>
        <v>0</v>
      </c>
      <c r="E44" s="62">
        <f>COUNTIF('CAPTURA DE DATOS'!F9:F1003,"PATOLOGIA DEL LENGUAJE")</f>
        <v>0</v>
      </c>
    </row>
    <row r="45" spans="2:7" ht="30.75" thickBot="1" x14ac:dyDescent="0.3">
      <c r="B45" s="73" t="s">
        <v>269</v>
      </c>
      <c r="C45" s="26" t="s">
        <v>212</v>
      </c>
      <c r="D45" s="64">
        <f>COUNTIF('CAPTURA DE DATOS'!E9:E1003,"ELECTROMIOGRAFIA Y DISTROFIA MUSCULAR")</f>
        <v>0</v>
      </c>
      <c r="E45" s="64">
        <f>COUNTIF('CAPTURA DE DATOS'!F9:F1003,"ELECTROMIOGRAFIA Y DISTROFIA MUSCULAR")</f>
        <v>0</v>
      </c>
    </row>
    <row r="46" spans="2:7" ht="15.75" thickBot="1" x14ac:dyDescent="0.3">
      <c r="B46" s="74"/>
      <c r="C46" s="74"/>
      <c r="D46" s="74"/>
      <c r="E46" s="74"/>
    </row>
    <row r="47" spans="2:7" ht="30" x14ac:dyDescent="0.25">
      <c r="B47" s="75"/>
      <c r="C47" s="76" t="s">
        <v>156</v>
      </c>
      <c r="D47" s="76" t="s">
        <v>270</v>
      </c>
      <c r="E47" s="76" t="s">
        <v>271</v>
      </c>
      <c r="F47" s="122" t="s">
        <v>272</v>
      </c>
      <c r="G47" s="125"/>
    </row>
    <row r="48" spans="2:7" x14ac:dyDescent="0.25">
      <c r="B48" s="78" t="s">
        <v>273</v>
      </c>
      <c r="C48" s="79">
        <f>COUNTA('CAPTURA DE DATOS'!E9:E1003)</f>
        <v>0</v>
      </c>
      <c r="D48" s="88">
        <f>'METAS 2012'!H20</f>
        <v>572</v>
      </c>
      <c r="E48" s="80">
        <f>C48/D48</f>
        <v>0</v>
      </c>
      <c r="F48" s="123">
        <f>'METAS 2012'!O20</f>
        <v>5574</v>
      </c>
      <c r="G48" s="126"/>
    </row>
    <row r="49" spans="2:7" ht="15.75" thickBot="1" x14ac:dyDescent="0.3">
      <c r="B49" s="81" t="s">
        <v>166</v>
      </c>
      <c r="C49" s="82">
        <f>COUNTA('CAPTURA DE DATOS'!F9:F1003)</f>
        <v>0</v>
      </c>
      <c r="D49" s="121">
        <f>'METAS 2012'!H19</f>
        <v>641</v>
      </c>
      <c r="E49" s="80">
        <f>C49/D49</f>
        <v>0</v>
      </c>
      <c r="F49" s="124">
        <f>'METAS 2012'!O19</f>
        <v>6276</v>
      </c>
      <c r="G49" s="126"/>
    </row>
    <row r="50" spans="2:7" ht="15.75" thickBot="1" x14ac:dyDescent="0.3">
      <c r="B50" s="83"/>
      <c r="C50" s="84"/>
      <c r="D50" s="74"/>
      <c r="E50" s="74"/>
      <c r="F50" s="74"/>
      <c r="G50" s="74"/>
    </row>
    <row r="51" spans="2:7" ht="30" x14ac:dyDescent="0.25">
      <c r="B51" s="75" t="s">
        <v>183</v>
      </c>
      <c r="C51" s="77" t="s">
        <v>156</v>
      </c>
      <c r="D51" s="85"/>
      <c r="E51" s="75" t="s">
        <v>184</v>
      </c>
      <c r="F51" s="77" t="s">
        <v>156</v>
      </c>
      <c r="G51" s="74"/>
    </row>
    <row r="52" spans="2:7" x14ac:dyDescent="0.25">
      <c r="B52" s="86" t="s">
        <v>163</v>
      </c>
      <c r="C52" s="57">
        <f>COUNTIF('CAPTURA DE DATOS'!L9:L1003,"EXTERNO")</f>
        <v>0</v>
      </c>
      <c r="D52" s="85"/>
      <c r="E52" s="86" t="s">
        <v>163</v>
      </c>
      <c r="F52" s="57">
        <f>COUNTIF('CAPTURA DE DATOS'!M9:M1003,"EXTERNO")</f>
        <v>0</v>
      </c>
      <c r="G52" s="74"/>
    </row>
    <row r="53" spans="2:7" x14ac:dyDescent="0.25">
      <c r="B53" s="86" t="s">
        <v>164</v>
      </c>
      <c r="C53" s="57">
        <f>COUNTIF('CAPTURA DE DATOS'!L9:L1003,"HOSPITALIZACION")</f>
        <v>0</v>
      </c>
      <c r="D53" s="85"/>
      <c r="E53" s="86" t="s">
        <v>164</v>
      </c>
      <c r="F53" s="57">
        <f>COUNTIF('CAPTURA DE DATOS'!M9:M1003,"HOSPITALIZACION")</f>
        <v>0</v>
      </c>
      <c r="G53" s="74"/>
    </row>
    <row r="54" spans="2:7" x14ac:dyDescent="0.25">
      <c r="B54" s="86" t="s">
        <v>142</v>
      </c>
      <c r="C54" s="57">
        <f>COUNTIF('CAPTURA DE DATOS'!L9:L1003,"URGENCIAS")</f>
        <v>0</v>
      </c>
      <c r="D54" s="85"/>
      <c r="E54" s="86" t="s">
        <v>142</v>
      </c>
      <c r="F54" s="57">
        <f>COUNTIF('CAPTURA DE DATOS'!M9:M1003,"URGENCIAS")</f>
        <v>0</v>
      </c>
      <c r="G54" s="74"/>
    </row>
    <row r="55" spans="2:7" ht="15.75" thickBot="1" x14ac:dyDescent="0.3">
      <c r="B55" s="87" t="s">
        <v>159</v>
      </c>
      <c r="C55" s="62">
        <f>SUM(C52:C54)</f>
        <v>0</v>
      </c>
      <c r="D55" s="85"/>
      <c r="E55" s="87" t="s">
        <v>159</v>
      </c>
      <c r="F55" s="62">
        <f>SUM(F52:F54)</f>
        <v>0</v>
      </c>
      <c r="G55" s="74"/>
    </row>
    <row r="56" spans="2:7" x14ac:dyDescent="0.25">
      <c r="B56" s="74"/>
      <c r="C56" s="74"/>
      <c r="D56" s="74"/>
      <c r="E56" s="74"/>
      <c r="F56" s="74"/>
      <c r="G56" s="74"/>
    </row>
    <row r="57" spans="2:7" x14ac:dyDescent="0.25">
      <c r="B57" s="107" t="s">
        <v>292</v>
      </c>
      <c r="C57" s="74"/>
      <c r="D57" s="74"/>
      <c r="E57" s="74"/>
      <c r="F57" s="74"/>
      <c r="G57" s="74"/>
    </row>
    <row r="58" spans="2:7" x14ac:dyDescent="0.25">
      <c r="C58" s="74"/>
      <c r="D58" s="74"/>
      <c r="E58" s="74"/>
      <c r="F58" s="74"/>
      <c r="G58" s="74"/>
    </row>
  </sheetData>
  <mergeCells count="4">
    <mergeCell ref="B5:E5"/>
    <mergeCell ref="B1:E1"/>
    <mergeCell ref="B2:E2"/>
    <mergeCell ref="B3:E3"/>
  </mergeCells>
  <pageMargins left="0.70866141732283472" right="0.70866141732283472" top="0.74803149606299213" bottom="0.74803149606299213" header="0.31496062992125984" footer="0.31496062992125984"/>
  <pageSetup scale="60" orientation="portrait" verticalDpi="599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21"/>
  <sheetViews>
    <sheetView topLeftCell="A13" workbookViewId="0">
      <selection activeCell="G17" sqref="G17"/>
    </sheetView>
  </sheetViews>
  <sheetFormatPr baseColWidth="10" defaultColWidth="11.42578125" defaultRowHeight="15" x14ac:dyDescent="0.25"/>
  <cols>
    <col min="1" max="1" width="24" customWidth="1"/>
    <col min="2" max="2" width="5.5703125" customWidth="1"/>
  </cols>
  <sheetData>
    <row r="5" spans="1:21" x14ac:dyDescent="0.25">
      <c r="E5" s="18"/>
      <c r="F5" s="148" t="s">
        <v>231</v>
      </c>
      <c r="G5" s="148"/>
      <c r="H5" s="148"/>
      <c r="I5" s="148"/>
      <c r="J5" s="148"/>
    </row>
    <row r="6" spans="1:21" x14ac:dyDescent="0.25">
      <c r="F6" s="36"/>
      <c r="G6" s="158" t="s">
        <v>232</v>
      </c>
      <c r="H6" s="158"/>
      <c r="I6" s="158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x14ac:dyDescent="0.25">
      <c r="F7" s="36"/>
      <c r="G7" s="159" t="s">
        <v>233</v>
      </c>
      <c r="H7" s="15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  <c r="U7" s="37"/>
    </row>
    <row r="8" spans="1:21" x14ac:dyDescent="0.25"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</row>
    <row r="12" spans="1:21" ht="15.75" thickBot="1" x14ac:dyDescent="0.3">
      <c r="A12" s="38" t="s">
        <v>234</v>
      </c>
      <c r="C12" s="39" t="s">
        <v>235</v>
      </c>
      <c r="D12" s="39" t="s">
        <v>236</v>
      </c>
      <c r="E12" s="39" t="s">
        <v>237</v>
      </c>
      <c r="F12" s="39" t="s">
        <v>238</v>
      </c>
      <c r="G12" s="39" t="s">
        <v>239</v>
      </c>
      <c r="H12" s="39" t="s">
        <v>240</v>
      </c>
      <c r="I12" s="39" t="s">
        <v>241</v>
      </c>
      <c r="J12" s="39" t="s">
        <v>242</v>
      </c>
      <c r="K12" s="39" t="s">
        <v>243</v>
      </c>
      <c r="L12" s="39" t="s">
        <v>244</v>
      </c>
      <c r="M12" s="39" t="s">
        <v>245</v>
      </c>
      <c r="N12" s="39" t="s">
        <v>246</v>
      </c>
      <c r="O12" s="39" t="s">
        <v>247</v>
      </c>
    </row>
    <row r="13" spans="1:21" x14ac:dyDescent="0.25">
      <c r="A13" s="160" t="s">
        <v>248</v>
      </c>
      <c r="B13" s="40" t="s">
        <v>249</v>
      </c>
      <c r="C13" s="41">
        <v>345</v>
      </c>
      <c r="D13" s="41">
        <v>465</v>
      </c>
      <c r="E13" s="41">
        <v>423</v>
      </c>
      <c r="F13" s="41">
        <v>398</v>
      </c>
      <c r="G13" s="41">
        <v>415</v>
      </c>
      <c r="H13" s="41">
        <v>502</v>
      </c>
      <c r="I13" s="41">
        <v>468</v>
      </c>
      <c r="J13" s="41">
        <v>445</v>
      </c>
      <c r="K13" s="41">
        <v>374</v>
      </c>
      <c r="L13" s="42">
        <v>375</v>
      </c>
      <c r="M13" s="41">
        <v>507</v>
      </c>
      <c r="N13" s="41">
        <v>382</v>
      </c>
      <c r="O13" s="43">
        <f>SUM(C13:N13)</f>
        <v>5099</v>
      </c>
    </row>
    <row r="14" spans="1:21" x14ac:dyDescent="0.25">
      <c r="A14" s="161"/>
      <c r="B14" s="44" t="s">
        <v>250</v>
      </c>
      <c r="C14" s="45">
        <v>361</v>
      </c>
      <c r="D14" s="45">
        <v>469</v>
      </c>
      <c r="E14" s="45">
        <v>457</v>
      </c>
      <c r="F14" s="45">
        <v>412</v>
      </c>
      <c r="G14" s="45">
        <v>446</v>
      </c>
      <c r="H14" s="45">
        <v>514</v>
      </c>
      <c r="I14" s="46">
        <v>500</v>
      </c>
      <c r="J14" s="46">
        <v>468</v>
      </c>
      <c r="K14" s="46">
        <v>397</v>
      </c>
      <c r="L14" s="46">
        <v>381</v>
      </c>
      <c r="M14" s="46">
        <v>514</v>
      </c>
      <c r="N14" s="46">
        <v>401</v>
      </c>
      <c r="O14" s="47">
        <f>SUM(C14:N14)</f>
        <v>5320</v>
      </c>
    </row>
    <row r="16" spans="1:21" x14ac:dyDescent="0.25">
      <c r="G16" s="107" t="s">
        <v>284</v>
      </c>
    </row>
    <row r="18" spans="1:15" x14ac:dyDescent="0.25">
      <c r="A18" s="117" t="s">
        <v>282</v>
      </c>
      <c r="B18" s="115"/>
      <c r="C18" s="118" t="s">
        <v>235</v>
      </c>
      <c r="D18" s="118" t="s">
        <v>236</v>
      </c>
      <c r="E18" s="118" t="s">
        <v>237</v>
      </c>
      <c r="F18" s="118" t="s">
        <v>238</v>
      </c>
      <c r="G18" s="118" t="s">
        <v>239</v>
      </c>
      <c r="H18" s="118" t="s">
        <v>240</v>
      </c>
      <c r="I18" s="118" t="s">
        <v>241</v>
      </c>
      <c r="J18" s="118" t="s">
        <v>242</v>
      </c>
      <c r="K18" s="118" t="s">
        <v>243</v>
      </c>
      <c r="L18" s="118" t="s">
        <v>244</v>
      </c>
      <c r="M18" s="118" t="s">
        <v>245</v>
      </c>
      <c r="N18" s="118" t="s">
        <v>246</v>
      </c>
      <c r="O18" s="118" t="s">
        <v>247</v>
      </c>
    </row>
    <row r="19" spans="1:15" x14ac:dyDescent="0.25">
      <c r="A19" s="157" t="s">
        <v>248</v>
      </c>
      <c r="B19" s="108" t="s">
        <v>250</v>
      </c>
      <c r="C19" s="109">
        <v>457</v>
      </c>
      <c r="D19" s="109">
        <v>541</v>
      </c>
      <c r="E19" s="109">
        <v>423</v>
      </c>
      <c r="F19" s="109">
        <v>387</v>
      </c>
      <c r="G19" s="109">
        <v>686</v>
      </c>
      <c r="H19" s="109">
        <v>641</v>
      </c>
      <c r="I19" s="110">
        <v>515</v>
      </c>
      <c r="J19" s="111">
        <v>535</v>
      </c>
      <c r="K19" s="111">
        <v>558</v>
      </c>
      <c r="L19" s="112">
        <v>582</v>
      </c>
      <c r="M19" s="113">
        <v>494</v>
      </c>
      <c r="N19" s="111">
        <v>457</v>
      </c>
      <c r="O19" s="111">
        <v>6276</v>
      </c>
    </row>
    <row r="20" spans="1:15" x14ac:dyDescent="0.25">
      <c r="A20" s="157"/>
      <c r="B20" s="108" t="s">
        <v>249</v>
      </c>
      <c r="C20" s="111">
        <v>396</v>
      </c>
      <c r="D20" s="111">
        <v>480</v>
      </c>
      <c r="E20" s="111">
        <v>374</v>
      </c>
      <c r="F20" s="111">
        <v>334</v>
      </c>
      <c r="G20" s="111">
        <v>603</v>
      </c>
      <c r="H20" s="111">
        <v>572</v>
      </c>
      <c r="I20" s="111">
        <v>462</v>
      </c>
      <c r="J20" s="110">
        <v>490</v>
      </c>
      <c r="K20" s="110">
        <v>501</v>
      </c>
      <c r="L20" s="110">
        <v>520</v>
      </c>
      <c r="M20" s="113">
        <v>443</v>
      </c>
      <c r="N20" s="110">
        <v>399</v>
      </c>
      <c r="O20" s="114">
        <v>5574</v>
      </c>
    </row>
    <row r="21" spans="1:15" x14ac:dyDescent="0.25">
      <c r="A21" s="115" t="s">
        <v>283</v>
      </c>
      <c r="B21" s="115"/>
      <c r="C21" s="116">
        <v>24</v>
      </c>
      <c r="D21" s="116">
        <v>20</v>
      </c>
      <c r="E21" s="116">
        <v>19</v>
      </c>
      <c r="F21" s="116">
        <v>17</v>
      </c>
      <c r="G21" s="116">
        <v>20</v>
      </c>
      <c r="H21" s="116">
        <v>34</v>
      </c>
      <c r="I21" s="116">
        <v>19</v>
      </c>
      <c r="J21" s="116">
        <v>14</v>
      </c>
      <c r="K21" s="116">
        <v>26</v>
      </c>
      <c r="L21" s="116">
        <v>22</v>
      </c>
      <c r="M21" s="116">
        <v>34</v>
      </c>
      <c r="N21" s="116">
        <v>26</v>
      </c>
      <c r="O21" s="116">
        <v>275</v>
      </c>
    </row>
  </sheetData>
  <mergeCells count="6">
    <mergeCell ref="A19:A20"/>
    <mergeCell ref="F5:J5"/>
    <mergeCell ref="G6:I6"/>
    <mergeCell ref="G7:H7"/>
    <mergeCell ref="F8:U8"/>
    <mergeCell ref="A13:A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9</vt:i4>
      </vt:variant>
      <vt:variant>
        <vt:lpstr>Gráficos</vt:lpstr>
      </vt:variant>
      <vt:variant>
        <vt:i4>3</vt:i4>
      </vt:variant>
      <vt:variant>
        <vt:lpstr>Rangos con nombre</vt:lpstr>
      </vt:variant>
      <vt:variant>
        <vt:i4>20</vt:i4>
      </vt:variant>
    </vt:vector>
  </HeadingPairs>
  <TitlesOfParts>
    <vt:vector size="32" baseType="lpstr">
      <vt:lpstr>CAPTURA DE DATOS</vt:lpstr>
      <vt:lpstr>CAPTURA 2</vt:lpstr>
      <vt:lpstr>HOJA DE REFERENCIA</vt:lpstr>
      <vt:lpstr>INFORME MENSUAL 1</vt:lpstr>
      <vt:lpstr>INFORME MENSUAL 2</vt:lpstr>
      <vt:lpstr>RESUMEN</vt:lpstr>
      <vt:lpstr>METAS 2012</vt:lpstr>
      <vt:lpstr>Hoja2</vt:lpstr>
      <vt:lpstr>Hoja1</vt:lpstr>
      <vt:lpstr>Gráfico1</vt:lpstr>
      <vt:lpstr>Gráfico2</vt:lpstr>
      <vt:lpstr>Gráfico3</vt:lpstr>
      <vt:lpstr>'INFORME MENSUAL 1'!Área_de_impresión</vt:lpstr>
      <vt:lpstr>'INFORME MENSUAL 2'!Área_de_impresión</vt:lpstr>
      <vt:lpstr>RESUMEN!Área_de_impresión</vt:lpstr>
      <vt:lpstr>RESUMEN!CONTRASTADO</vt:lpstr>
      <vt:lpstr>CONTRASTADO</vt:lpstr>
      <vt:lpstr>RESUMEN!ESTUDIOS</vt:lpstr>
      <vt:lpstr>ESTUDIOS</vt:lpstr>
      <vt:lpstr>RESUMEN!MEDICO</vt:lpstr>
      <vt:lpstr>MEDICO</vt:lpstr>
      <vt:lpstr>RESUMEN!PROCEDENCIA</vt:lpstr>
      <vt:lpstr>PROCEDENCIA</vt:lpstr>
      <vt:lpstr>RESUMEN!REGION</vt:lpstr>
      <vt:lpstr>REGION</vt:lpstr>
      <vt:lpstr>SERVICIOS</vt:lpstr>
      <vt:lpstr>SERVICIOSISO</vt:lpstr>
      <vt:lpstr>RESUMEN!Sexo</vt:lpstr>
      <vt:lpstr>Sexo</vt:lpstr>
      <vt:lpstr>RESUMEN!TECNICO</vt:lpstr>
      <vt:lpstr>TECNICO</vt:lpstr>
      <vt:lpstr>tomo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Garly</dc:creator>
  <cp:lastModifiedBy>jscruz</cp:lastModifiedBy>
  <cp:lastPrinted>2015-08-05T21:16:26Z</cp:lastPrinted>
  <dcterms:created xsi:type="dcterms:W3CDTF">2011-08-05T15:39:26Z</dcterms:created>
  <dcterms:modified xsi:type="dcterms:W3CDTF">2020-12-07T22:42:37Z</dcterms:modified>
</cp:coreProperties>
</file>